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https://eceuropaeu.sharepoint.com/teams/GRP-Transparency/Shared Documents/General/Meta-analysis/"/>
    </mc:Choice>
  </mc:AlternateContent>
  <xr:revisionPtr revIDLastSave="1390" documentId="8_{D797A358-C9E3-46AC-A2D3-BFF758473C93}" xr6:coauthVersionLast="47" xr6:coauthVersionMax="47" xr10:uidLastSave="{1B3DF774-7367-4EC9-ADEC-922EE1EA3EAB}"/>
  <bookViews>
    <workbookView xWindow="-110" yWindow="-110" windowWidth="38620" windowHeight="21100" xr2:uid="{00000000-000D-0000-FFFF-FFFF00000000}"/>
  </bookViews>
  <sheets>
    <sheet name="1 final dataset" sheetId="14" r:id="rId1"/>
  </sheets>
  <definedNames>
    <definedName name="_xlnm._FilterDatabase" localSheetId="0" hidden="1">'1 final dataset'!$A$1:$CJ$118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4" i="14" l="1"/>
  <c r="AW70" i="14"/>
  <c r="AV19" i="14"/>
  <c r="AV21" i="14"/>
  <c r="AV20" i="14"/>
  <c r="AJ70" i="14"/>
  <c r="AJ118" i="14"/>
  <c r="BP34" i="14"/>
  <c r="BP33" i="14"/>
  <c r="BP32" i="14"/>
  <c r="BO32" i="14" s="1"/>
  <c r="BP31" i="14"/>
  <c r="BR30" i="14"/>
  <c r="BC34" i="14"/>
  <c r="BB34" i="14" s="1"/>
  <c r="BC33" i="14"/>
  <c r="BC32" i="14"/>
  <c r="BB32" i="14" s="1"/>
  <c r="BC31" i="14"/>
  <c r="BG34" i="14"/>
  <c r="BF34" i="14" s="1"/>
  <c r="BG33" i="14"/>
  <c r="BF33" i="14" s="1"/>
  <c r="BG32" i="14"/>
  <c r="BF32" i="14" s="1"/>
  <c r="BG31" i="14"/>
  <c r="BF31" i="14" s="1"/>
  <c r="BL30" i="14"/>
  <c r="BJ30" i="14"/>
  <c r="AH62" i="14"/>
  <c r="AH24" i="14"/>
  <c r="AH109" i="14"/>
  <c r="AI24" i="14"/>
  <c r="AJ71" i="14"/>
  <c r="AJ64" i="14"/>
  <c r="AJ62" i="14"/>
  <c r="AI71" i="14"/>
  <c r="AI70" i="14"/>
  <c r="AW71" i="14"/>
  <c r="AV70" i="14"/>
  <c r="AV71" i="14"/>
  <c r="AI82" i="14"/>
  <c r="AI83" i="14"/>
  <c r="AI84" i="14"/>
  <c r="AI81" i="14"/>
  <c r="AV82" i="14"/>
  <c r="AV83" i="14"/>
  <c r="AV84" i="14"/>
  <c r="AV81" i="14"/>
  <c r="AI117" i="14"/>
  <c r="AV24" i="14"/>
  <c r="BA94" i="14"/>
  <c r="BB94" i="14" s="1"/>
  <c r="BE94" i="14"/>
  <c r="BF94" i="14" s="1"/>
  <c r="BI87" i="14"/>
  <c r="BK87" i="14"/>
  <c r="AV14" i="14"/>
  <c r="AH8" i="14"/>
  <c r="AJ8" i="14"/>
  <c r="BK75" i="14"/>
  <c r="BI75" i="14"/>
  <c r="BI73" i="14"/>
  <c r="BK73" i="14"/>
  <c r="AV72" i="14"/>
  <c r="AV55" i="14"/>
  <c r="AW55" i="14"/>
  <c r="AV61" i="14"/>
  <c r="AW51" i="14"/>
  <c r="AW50" i="14"/>
  <c r="AH15" i="14"/>
  <c r="AH26" i="14"/>
  <c r="AV2" i="14"/>
  <c r="AH118" i="14"/>
  <c r="AH116" i="14"/>
  <c r="AH113" i="14"/>
  <c r="AH108" i="14"/>
  <c r="AH91" i="14"/>
  <c r="AH80" i="14"/>
  <c r="AH88" i="14"/>
  <c r="AH96" i="14"/>
  <c r="AH102" i="14"/>
  <c r="AH86" i="14"/>
  <c r="AH99" i="14"/>
  <c r="AH105" i="14"/>
  <c r="AH93" i="14"/>
  <c r="AH94" i="14"/>
  <c r="AH97" i="14"/>
  <c r="AH95" i="14"/>
  <c r="AH85" i="14"/>
  <c r="AH75" i="14"/>
  <c r="AH79" i="14"/>
  <c r="AH76" i="14"/>
  <c r="AH77" i="14"/>
  <c r="AH78" i="14"/>
  <c r="AH87" i="14"/>
  <c r="AH73" i="14"/>
  <c r="AI68" i="14"/>
  <c r="AH69" i="14"/>
  <c r="AH68" i="14"/>
  <c r="AH48" i="14"/>
  <c r="AH45" i="14"/>
  <c r="AH47" i="14"/>
  <c r="AH65" i="14"/>
  <c r="AH61" i="14"/>
  <c r="AH51" i="14"/>
  <c r="AH43" i="14"/>
  <c r="AH41" i="14"/>
  <c r="AH35" i="14"/>
  <c r="AH25" i="14"/>
  <c r="AH23" i="14"/>
  <c r="AH22" i="14"/>
  <c r="AH19" i="14"/>
  <c r="AH18" i="14"/>
  <c r="AH17" i="14"/>
  <c r="AH14" i="14"/>
  <c r="AH13" i="14"/>
  <c r="AH16" i="14"/>
  <c r="AH27" i="14"/>
  <c r="AH28" i="14"/>
  <c r="AH29" i="14"/>
  <c r="AH20" i="14"/>
  <c r="AH21" i="14"/>
  <c r="AH3" i="14"/>
  <c r="AH5" i="14"/>
  <c r="AH6" i="14"/>
  <c r="AH4" i="14"/>
  <c r="AH9" i="14"/>
  <c r="AH10" i="14"/>
  <c r="AH7" i="14"/>
  <c r="AH2" i="14"/>
  <c r="AH36" i="14"/>
  <c r="AH37" i="14"/>
  <c r="AH42" i="14"/>
  <c r="AH38" i="14"/>
  <c r="AH39" i="14"/>
  <c r="AH40" i="14"/>
  <c r="AH44" i="14"/>
  <c r="AH50" i="14"/>
  <c r="AH56" i="14"/>
  <c r="AH52" i="14"/>
  <c r="AH59" i="14"/>
  <c r="AH64" i="14"/>
  <c r="AH58" i="14"/>
  <c r="AH60" i="14"/>
  <c r="AH63" i="14"/>
  <c r="AH57" i="14"/>
  <c r="AH54" i="14"/>
  <c r="AH53" i="14"/>
  <c r="AH55" i="14"/>
  <c r="AH66" i="14"/>
  <c r="AH67" i="14"/>
  <c r="AH46" i="14"/>
  <c r="AH49" i="14"/>
  <c r="BK69" i="14"/>
  <c r="AH72" i="14"/>
  <c r="AH74" i="14"/>
  <c r="AH114" i="14"/>
  <c r="AH110" i="14"/>
  <c r="AH111" i="14"/>
  <c r="AH115" i="14"/>
  <c r="AH112" i="14"/>
  <c r="AH117" i="14"/>
  <c r="AI42" i="14"/>
  <c r="AI2" i="14"/>
  <c r="AJ109" i="14"/>
  <c r="AJ77" i="14"/>
  <c r="AJ78" i="14"/>
  <c r="AJ80" i="14"/>
  <c r="AJ87" i="14"/>
  <c r="AJ79" i="14"/>
  <c r="AJ76" i="14"/>
  <c r="AJ65" i="14"/>
  <c r="AJ61" i="14"/>
  <c r="AJ58" i="14"/>
  <c r="AJ51" i="14"/>
  <c r="AJ56" i="14"/>
  <c r="AJ52" i="14"/>
  <c r="AJ59" i="14"/>
  <c r="AJ60" i="14"/>
  <c r="AJ63" i="14"/>
  <c r="AJ57" i="14"/>
  <c r="AJ54" i="14"/>
  <c r="AJ53" i="14"/>
  <c r="AJ55" i="14"/>
  <c r="AJ66" i="14"/>
  <c r="AJ67" i="14"/>
  <c r="AJ50" i="14"/>
  <c r="AJ28" i="14"/>
  <c r="AJ26" i="14"/>
  <c r="AJ27" i="14"/>
  <c r="AJ29" i="14"/>
  <c r="AJ25" i="14"/>
  <c r="AJ21" i="14"/>
  <c r="AJ20" i="14"/>
  <c r="AJ4" i="14"/>
  <c r="AJ19" i="14"/>
  <c r="AJ22" i="14"/>
  <c r="AJ23" i="14"/>
  <c r="AJ108" i="14"/>
  <c r="AJ16" i="14"/>
  <c r="AJ15" i="14"/>
  <c r="AJ17" i="14"/>
  <c r="AJ5" i="14"/>
  <c r="AV117" i="14"/>
  <c r="AW20" i="14"/>
  <c r="AW19" i="14"/>
  <c r="AW77" i="14"/>
  <c r="AW78" i="14"/>
  <c r="AW80" i="14"/>
  <c r="AW79" i="14"/>
  <c r="AW76" i="14"/>
  <c r="AW65" i="14"/>
  <c r="AW61" i="14"/>
  <c r="AW5" i="14"/>
  <c r="AW21" i="14"/>
  <c r="AW25" i="14"/>
  <c r="AW26" i="14"/>
  <c r="AW27" i="14"/>
  <c r="AW28" i="14"/>
  <c r="AW29" i="14"/>
  <c r="AW56" i="14"/>
  <c r="AW52" i="14"/>
  <c r="AW59" i="14"/>
  <c r="AW64" i="14"/>
  <c r="AW58" i="14"/>
  <c r="AW60" i="14"/>
  <c r="AW63" i="14"/>
  <c r="AW62" i="14"/>
  <c r="AW57" i="14"/>
  <c r="AW54" i="14"/>
  <c r="AW53" i="14"/>
  <c r="AW66" i="14"/>
  <c r="AW67" i="14"/>
  <c r="AW8" i="14"/>
  <c r="AV8" i="14"/>
  <c r="AI118" i="14"/>
  <c r="AI116" i="14"/>
  <c r="AI113" i="14"/>
  <c r="AI108" i="14"/>
  <c r="AI109" i="14"/>
  <c r="AI76" i="14"/>
  <c r="AI75" i="14"/>
  <c r="AI79" i="14"/>
  <c r="AI77" i="14"/>
  <c r="AI78" i="14"/>
  <c r="AI80" i="14"/>
  <c r="AI87" i="14"/>
  <c r="AI73" i="14"/>
  <c r="AI48" i="14"/>
  <c r="AI47" i="14"/>
  <c r="AI45" i="14"/>
  <c r="AI65" i="14"/>
  <c r="AI61" i="14"/>
  <c r="AI43" i="14"/>
  <c r="AI35" i="14"/>
  <c r="AI41" i="14"/>
  <c r="AI23" i="14"/>
  <c r="AI22" i="14"/>
  <c r="AI19" i="14"/>
  <c r="AI14" i="14"/>
  <c r="AI13" i="14"/>
  <c r="AI17" i="14"/>
  <c r="AI16" i="14"/>
  <c r="AI15" i="14"/>
  <c r="AI8" i="14"/>
  <c r="AI3" i="14"/>
  <c r="AI5" i="14"/>
  <c r="AI6" i="14"/>
  <c r="AI4" i="14"/>
  <c r="AI9" i="14"/>
  <c r="AI10" i="14"/>
  <c r="AI7" i="14"/>
  <c r="AI18" i="14"/>
  <c r="AI20" i="14"/>
  <c r="AI21" i="14"/>
  <c r="AI25" i="14"/>
  <c r="AI26" i="14"/>
  <c r="AI27" i="14"/>
  <c r="AI28" i="14"/>
  <c r="AI29" i="14"/>
  <c r="AI36" i="14"/>
  <c r="AI37" i="14"/>
  <c r="AI38" i="14"/>
  <c r="AI39" i="14"/>
  <c r="AI40" i="14"/>
  <c r="AI44" i="14"/>
  <c r="AI50" i="14"/>
  <c r="AI51" i="14"/>
  <c r="AI56" i="14"/>
  <c r="AI52" i="14"/>
  <c r="AI59" i="14"/>
  <c r="AI64" i="14"/>
  <c r="AI58" i="14"/>
  <c r="AI60" i="14"/>
  <c r="AI63" i="14"/>
  <c r="AI62" i="14"/>
  <c r="AI57" i="14"/>
  <c r="AI54" i="14"/>
  <c r="AI53" i="14"/>
  <c r="AI55" i="14"/>
  <c r="AI66" i="14"/>
  <c r="AI67" i="14"/>
  <c r="AI46" i="14"/>
  <c r="AI49" i="14"/>
  <c r="AI72" i="14"/>
  <c r="AI74" i="14"/>
  <c r="AI85" i="14"/>
  <c r="AI86" i="14"/>
  <c r="AI114" i="14"/>
  <c r="AI110" i="14"/>
  <c r="AI111" i="14"/>
  <c r="AI115" i="14"/>
  <c r="AI112" i="14"/>
  <c r="AV112" i="14"/>
  <c r="AV114" i="14"/>
  <c r="AV111" i="14"/>
  <c r="AV115" i="14"/>
  <c r="AV110" i="14"/>
  <c r="AV108" i="14"/>
  <c r="AV109" i="14"/>
  <c r="AV86" i="14"/>
  <c r="AV85" i="14"/>
  <c r="AV80" i="14"/>
  <c r="AV77" i="14"/>
  <c r="AV79" i="14"/>
  <c r="AV78" i="14"/>
  <c r="AV76" i="14"/>
  <c r="AV74" i="14"/>
  <c r="AV59" i="14"/>
  <c r="AV67" i="14"/>
  <c r="AV66" i="14"/>
  <c r="AV65" i="14"/>
  <c r="AV62" i="14"/>
  <c r="AV60" i="14"/>
  <c r="AV64" i="14"/>
  <c r="AV51" i="14"/>
  <c r="AV58" i="14"/>
  <c r="AV57" i="14"/>
  <c r="AV56" i="14"/>
  <c r="AV54" i="14"/>
  <c r="AV63" i="14"/>
  <c r="AV53" i="14"/>
  <c r="AV50" i="14"/>
  <c r="AV52" i="14"/>
  <c r="AV49" i="14"/>
  <c r="AV46" i="14"/>
  <c r="AV42" i="14"/>
  <c r="AV44" i="14"/>
  <c r="AV38" i="14"/>
  <c r="AV37" i="14"/>
  <c r="AV39" i="14"/>
  <c r="AV40" i="14"/>
  <c r="AV36" i="14"/>
  <c r="AV27" i="14"/>
  <c r="AV26" i="14"/>
  <c r="AV28" i="14"/>
  <c r="AV29" i="14"/>
  <c r="AV25" i="14"/>
  <c r="AV13" i="14"/>
  <c r="AV10" i="14"/>
  <c r="AV7" i="14"/>
  <c r="AV9" i="14"/>
  <c r="AV6" i="14"/>
  <c r="AV3" i="14"/>
  <c r="AV5" i="14"/>
  <c r="AV4" i="14"/>
  <c r="BK118" i="14"/>
  <c r="BI118" i="14"/>
  <c r="BQ118" i="14"/>
  <c r="BK116" i="14"/>
  <c r="BI116" i="14"/>
  <c r="BK113" i="14"/>
  <c r="BI113" i="14"/>
  <c r="BE107" i="14"/>
  <c r="BF107" i="14" s="1"/>
  <c r="BD107" i="14"/>
  <c r="BA107" i="14"/>
  <c r="BB107" i="14" s="1"/>
  <c r="AZ107" i="14"/>
  <c r="BE104" i="14"/>
  <c r="BF104" i="14" s="1"/>
  <c r="BD104" i="14"/>
  <c r="BA104" i="14"/>
  <c r="BB104" i="14" s="1"/>
  <c r="AZ104" i="14"/>
  <c r="BE97" i="14"/>
  <c r="BF97" i="14" s="1"/>
  <c r="BD97" i="14"/>
  <c r="BA97" i="14"/>
  <c r="BB97" i="14" s="1"/>
  <c r="AZ97" i="14"/>
  <c r="BE101" i="14"/>
  <c r="BF101" i="14" s="1"/>
  <c r="BD101" i="14"/>
  <c r="BA101" i="14"/>
  <c r="BB101" i="14" s="1"/>
  <c r="AZ101" i="14"/>
  <c r="BE106" i="14"/>
  <c r="BF106" i="14" s="1"/>
  <c r="BD106" i="14"/>
  <c r="BA106" i="14"/>
  <c r="BB106" i="14" s="1"/>
  <c r="AZ106" i="14"/>
  <c r="BE103" i="14"/>
  <c r="BF103" i="14" s="1"/>
  <c r="BD103" i="14"/>
  <c r="BA103" i="14"/>
  <c r="BB103" i="14" s="1"/>
  <c r="AZ103" i="14"/>
  <c r="BE98" i="14"/>
  <c r="BF98" i="14" s="1"/>
  <c r="BD98" i="14"/>
  <c r="BA98" i="14"/>
  <c r="BB98" i="14" s="1"/>
  <c r="AZ98" i="14"/>
  <c r="BE100" i="14"/>
  <c r="BF100" i="14" s="1"/>
  <c r="BD100" i="14"/>
  <c r="BA100" i="14"/>
  <c r="BB100" i="14" s="1"/>
  <c r="AZ100" i="14"/>
  <c r="BE105" i="14"/>
  <c r="BF105" i="14" s="1"/>
  <c r="BA105" i="14"/>
  <c r="BB105" i="14" s="1"/>
  <c r="BE102" i="14"/>
  <c r="BF102" i="14" s="1"/>
  <c r="BA102" i="14"/>
  <c r="BB102" i="14" s="1"/>
  <c r="BA96" i="14"/>
  <c r="BB96" i="14" s="1"/>
  <c r="BE96" i="14"/>
  <c r="BF96" i="14" s="1"/>
  <c r="BE99" i="14"/>
  <c r="BF99" i="14" s="1"/>
  <c r="BA99" i="14"/>
  <c r="BB99" i="14" s="1"/>
  <c r="BE88" i="14"/>
  <c r="BF88" i="14" s="1"/>
  <c r="BD88" i="14"/>
  <c r="BA88" i="14"/>
  <c r="BB88" i="14" s="1"/>
  <c r="AZ88" i="14"/>
  <c r="BE95" i="14"/>
  <c r="BF95" i="14" s="1"/>
  <c r="BD95" i="14"/>
  <c r="BA95" i="14"/>
  <c r="BB95" i="14" s="1"/>
  <c r="AZ95" i="14"/>
  <c r="BE90" i="14"/>
  <c r="BF90" i="14" s="1"/>
  <c r="BD90" i="14"/>
  <c r="BA90" i="14"/>
  <c r="BB90" i="14" s="1"/>
  <c r="AZ90" i="14"/>
  <c r="BE92" i="14"/>
  <c r="BF92" i="14" s="1"/>
  <c r="BD92" i="14"/>
  <c r="BA92" i="14"/>
  <c r="BB92" i="14" s="1"/>
  <c r="AZ92" i="14"/>
  <c r="BE89" i="14"/>
  <c r="BF89" i="14" s="1"/>
  <c r="BA89" i="14"/>
  <c r="BB89" i="14" s="1"/>
  <c r="BE91" i="14"/>
  <c r="BF91" i="14" s="1"/>
  <c r="BA91" i="14"/>
  <c r="BB91" i="14" s="1"/>
  <c r="BE93" i="14"/>
  <c r="BF93" i="14" s="1"/>
  <c r="BA93" i="14"/>
  <c r="BB93" i="14" s="1"/>
  <c r="BK48" i="14"/>
  <c r="BI48" i="14"/>
  <c r="BK47" i="14"/>
  <c r="BI47" i="14"/>
  <c r="BK45" i="14"/>
  <c r="BI45" i="14"/>
  <c r="BK43" i="14"/>
  <c r="BI43" i="14"/>
  <c r="BK41" i="14"/>
  <c r="BI41" i="14"/>
  <c r="BK35" i="14"/>
  <c r="BI35" i="14"/>
  <c r="BQ69" i="14"/>
  <c r="BQ68" i="14"/>
  <c r="BK68" i="14"/>
  <c r="BQ23" i="14"/>
  <c r="BQ22" i="14"/>
  <c r="BK22" i="14"/>
  <c r="BK23" i="14"/>
  <c r="BI23" i="14"/>
  <c r="BI22" i="14"/>
  <c r="BB18" i="14"/>
  <c r="AZ18" i="14"/>
  <c r="AV18" i="14" s="1"/>
  <c r="BQ15" i="14"/>
  <c r="BQ16" i="14"/>
  <c r="BQ17" i="14"/>
  <c r="BK17" i="14"/>
  <c r="BI17" i="14"/>
  <c r="BK16" i="14"/>
  <c r="BI16" i="14"/>
  <c r="BK15" i="14"/>
  <c r="BI15" i="14"/>
  <c r="BJ12" i="14"/>
  <c r="BJ11" i="14"/>
  <c r="BL12" i="14"/>
  <c r="BL11" i="14"/>
  <c r="BI68" i="14"/>
  <c r="AJ68" i="14"/>
  <c r="AI69" i="14"/>
  <c r="BI69" i="14"/>
  <c r="AJ69" i="14"/>
  <c r="BQ109" i="14"/>
  <c r="AW109" i="14" s="1"/>
  <c r="BQ108" i="14"/>
  <c r="AW108" i="14" s="1"/>
  <c r="BR12" i="14"/>
  <c r="BR11" i="14"/>
  <c r="AI100" i="14"/>
  <c r="AH92" i="14"/>
  <c r="AI92" i="14"/>
  <c r="AI93" i="14"/>
  <c r="AH101" i="14"/>
  <c r="AI101" i="14"/>
  <c r="AI97" i="14"/>
  <c r="AH98" i="14"/>
  <c r="AI98" i="14"/>
  <c r="AH100" i="14"/>
  <c r="AI99" i="14"/>
  <c r="AH89" i="14"/>
  <c r="AI89" i="14"/>
  <c r="AH106" i="14"/>
  <c r="AI106" i="14"/>
  <c r="AH107" i="14"/>
  <c r="AI107" i="14"/>
  <c r="AI88" i="14"/>
  <c r="AI96" i="14"/>
  <c r="AI91" i="14"/>
  <c r="AI102" i="14"/>
  <c r="AI94" i="14"/>
  <c r="AH90" i="14"/>
  <c r="AI90" i="14"/>
  <c r="AI95" i="14"/>
  <c r="AH104" i="14"/>
  <c r="AI104" i="14"/>
  <c r="AH103" i="14"/>
  <c r="AI103" i="14"/>
  <c r="AI105" i="14"/>
  <c r="AV118" i="14" l="1"/>
  <c r="AH31" i="14"/>
  <c r="AJ31" i="14"/>
  <c r="AJ34" i="14"/>
  <c r="AH34" i="14"/>
  <c r="BB31" i="14"/>
  <c r="BO34" i="14"/>
  <c r="AH33" i="14"/>
  <c r="AJ30" i="14"/>
  <c r="AV35" i="14"/>
  <c r="AJ32" i="14"/>
  <c r="AH32" i="14"/>
  <c r="AJ33" i="14"/>
  <c r="BO33" i="14"/>
  <c r="AH30" i="14"/>
  <c r="AI33" i="14"/>
  <c r="AI34" i="14"/>
  <c r="AW32" i="14"/>
  <c r="AV48" i="14"/>
  <c r="AV73" i="14"/>
  <c r="AV75" i="14"/>
  <c r="BB33" i="14"/>
  <c r="AI32" i="14"/>
  <c r="AI31" i="14"/>
  <c r="AJ11" i="14"/>
  <c r="AV11" i="14"/>
  <c r="AV12" i="14"/>
  <c r="AV32" i="14"/>
  <c r="AV31" i="14"/>
  <c r="AW22" i="14"/>
  <c r="AV116" i="14"/>
  <c r="AW118" i="14"/>
  <c r="AI11" i="14"/>
  <c r="AH12" i="14"/>
  <c r="BH94" i="14"/>
  <c r="AY94" i="14" s="1"/>
  <c r="AH11" i="14"/>
  <c r="BH103" i="14"/>
  <c r="AY103" i="14" s="1"/>
  <c r="AV68" i="14"/>
  <c r="AW15" i="14"/>
  <c r="AV88" i="14"/>
  <c r="AI12" i="14"/>
  <c r="AW12" i="14"/>
  <c r="AW11" i="14"/>
  <c r="AJ12" i="14"/>
  <c r="AV87" i="14"/>
  <c r="BH98" i="14"/>
  <c r="AY98" i="14" s="1"/>
  <c r="AV16" i="14"/>
  <c r="AV102" i="14"/>
  <c r="AV99" i="14"/>
  <c r="AW23" i="14"/>
  <c r="BH101" i="14"/>
  <c r="AY101" i="14" s="1"/>
  <c r="AV23" i="14"/>
  <c r="BH92" i="14"/>
  <c r="AY92" i="14" s="1"/>
  <c r="AV15" i="14"/>
  <c r="AV100" i="14"/>
  <c r="AV41" i="14"/>
  <c r="AV93" i="14"/>
  <c r="AV17" i="14"/>
  <c r="AV43" i="14"/>
  <c r="BH102" i="14"/>
  <c r="AY102" i="14" s="1"/>
  <c r="AV107" i="14"/>
  <c r="BH97" i="14"/>
  <c r="AY97" i="14" s="1"/>
  <c r="AV103" i="14"/>
  <c r="BH96" i="14"/>
  <c r="AY96" i="14" s="1"/>
  <c r="BH100" i="14"/>
  <c r="AY100" i="14" s="1"/>
  <c r="BH89" i="14"/>
  <c r="AY89" i="14" s="1"/>
  <c r="AV22" i="14"/>
  <c r="AV94" i="14"/>
  <c r="AV92" i="14"/>
  <c r="BH106" i="14"/>
  <c r="AY106" i="14" s="1"/>
  <c r="BH107" i="14"/>
  <c r="AY107" i="14" s="1"/>
  <c r="AV91" i="14"/>
  <c r="BH90" i="14"/>
  <c r="AY90" i="14" s="1"/>
  <c r="AV106" i="14"/>
  <c r="AW17" i="14"/>
  <c r="AW16" i="14"/>
  <c r="AV45" i="14"/>
  <c r="AW68" i="14"/>
  <c r="AV47" i="14"/>
  <c r="AV113" i="14"/>
  <c r="BH105" i="14"/>
  <c r="AY105" i="14" s="1"/>
  <c r="AV101" i="14"/>
  <c r="AV69" i="14"/>
  <c r="BH99" i="14"/>
  <c r="AY99" i="14" s="1"/>
  <c r="BH93" i="14"/>
  <c r="AY93" i="14" s="1"/>
  <c r="AV89" i="14"/>
  <c r="AV98" i="14"/>
  <c r="AV96" i="14"/>
  <c r="BH88" i="14"/>
  <c r="AY88" i="14" s="1"/>
  <c r="BH95" i="14"/>
  <c r="AY95" i="14" s="1"/>
  <c r="BH104" i="14"/>
  <c r="AY104" i="14" s="1"/>
  <c r="BH91" i="14"/>
  <c r="AY91" i="14" s="1"/>
  <c r="AV90" i="14"/>
  <c r="AV105" i="14"/>
  <c r="AV97" i="14"/>
  <c r="AV95" i="14"/>
  <c r="AV104" i="14"/>
  <c r="AW69" i="14"/>
  <c r="AW33" i="14" l="1"/>
  <c r="AV33" i="14"/>
  <c r="AV34" i="14"/>
  <c r="AW34" i="14"/>
  <c r="BK30" i="14"/>
  <c r="BI30" i="14"/>
  <c r="AI30" i="14"/>
  <c r="AV30" i="14" l="1"/>
  <c r="BQ30" i="14"/>
  <c r="AW30" i="14" s="1"/>
  <c r="BO31" i="14"/>
  <c r="AW31"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tc={25B477E3-5A44-4693-9E91-ADF50975D71F}</author>
    <author>tc={10528171-3F48-4B51-9111-16C7B184521C}</author>
    <author>tc={3372FF2F-8C31-42B6-93FE-2BEF82402CE1}</author>
    <author>tc={700887A2-837D-4B7D-A888-7CBCC6C4A98F}</author>
    <author>tc={DC6221F7-D818-4651-9805-1C2141EAA1F7}</author>
    <author>tc={CFA132CB-9247-453A-A9EA-B8DD017D0C05}</author>
    <author>tc={5A10323C-2DCD-4604-837E-2FD3DEBE539B}</author>
    <author>tc={9DA7AF7C-FFF8-4F34-9B80-EE2F0A419B2B}</author>
    <author>tc={4751CA4D-9C79-49FF-92C7-A49A3E5753D7}</author>
    <author>tc={2FF32B43-D73C-4682-979D-CE7928B0B06C}</author>
    <author>tc={6238FB34-F87F-4739-A6AF-C3494CA41C80}</author>
    <author>tc={03E4878A-0D94-4D96-B989-B0782F2DE8E9}</author>
    <author>tc={EB4003F2-D23C-4E44-B299-E7C492A41316}</author>
    <author>tc={C77838AC-1532-4EFE-B27A-084B1DF9358B}</author>
    <author>tc={CACAF987-206F-4E77-8DC5-80E355E4747D}</author>
    <author>tc={121B9FA3-B500-4C65-B62D-9B0CC21869AC}</author>
    <author>Hendrik Bruns</author>
    <author>tc={D23CE2B0-CA28-465C-B543-FEE54810E3C6}</author>
    <author>tc={E40C6606-2284-4D17-96AB-A10C92FA313E}</author>
    <author>tc={B1BAE685-ADC7-44F7-B5C3-CD95A6E6BBED}</author>
    <author>tc={339C7B54-91D6-43B6-A33D-B1F25407AA66}</author>
    <author>tc={ABCC3C7E-3D2E-4646-A162-B29B8A1DB123}</author>
    <author>tc={C972DA62-54B7-4E8A-8A32-43573EF24E8C}</author>
    <author>tc={E24537D7-94EE-4C6B-B049-89485392950F}</author>
    <author>tc={5BC4E360-BEC9-4B14-9BD5-33D43479246D}</author>
    <author>tc={080E29FA-EAEB-4D85-9737-23AD419DA73D}</author>
    <author>tc={BFA20C0E-DFF8-4395-A81D-3004DFC45008}</author>
    <author>tc={1710761D-62A7-49F1-801A-332D35BF5440}</author>
    <author>tc={C6E2ADF8-5031-41BF-AE8C-F1F2F4FA9297}</author>
  </authors>
  <commentList>
    <comment ref="AA14" authorId="0" shapeId="0" xr:uid="{25B477E3-5A44-4693-9E91-ADF50975D71F}">
      <text>
        <t xml:space="preserve">[Threaded comment]
Your version of Excel allows you to read this threaded comment; however, any edits to it will get removed if the file is opened in a newer version of Excel. Learn more: https://go.microsoft.com/fwlink/?linkid=870924
Comment:
    These are still defaults, no active choice, so no adequate control group to measure default effect.
</t>
      </text>
    </comment>
    <comment ref="BM14" authorId="1" shapeId="0" xr:uid="{10528171-3F48-4B51-9111-16C7B184521C}">
      <text>
        <t>[Threaded comment]
Your version of Excel allows you to read this threaded comment; however, any edits to it will get removed if the file is opened in a newer version of Excel. Learn more: https://go.microsoft.com/fwlink/?linkid=870924
Comment:
    In the paper, they compare opt-in vs. Opt-out for clean default effect, but that does not correspon to "no default" as control group.</t>
      </text>
    </comment>
    <comment ref="BR18" authorId="2" shapeId="0" xr:uid="{3372FF2F-8C31-42B6-93FE-2BEF82402CE1}">
      <text>
        <t xml:space="preserve">[Threaded comment]
Your version of Excel allows you to read this threaded comment; however, any edits to it will get removed if the file is opened in a newer version of Excel. Learn more: https://go.microsoft.com/fwlink/?linkid=870924
Comment:
    Average of treatments D and E in stage 1 are without default, but they do not exist for stage 2. Thus we would compare stage 1 to treated stage 2 contributions, which would be biased.
</t>
      </text>
    </comment>
    <comment ref="A24" authorId="3" shapeId="0" xr:uid="{700887A2-837D-4B7D-A888-7CBCC6C4A98F}">
      <text>
        <t xml:space="preserve">[Threaded comment]
Your version of Excel allows you to read this threaded comment; however, any edits to it will get removed if the file is opened in a newer version of Excel. Learn more: https://go.microsoft.com/fwlink/?linkid=870924
Comment:
    We only include one DV because SelectionDivergence is derived from Choice
</t>
      </text>
    </comment>
    <comment ref="AB24" authorId="4" shapeId="0" xr:uid="{DC6221F7-D818-4651-9805-1C2141EAA1F7}">
      <text>
        <t>[Threaded comment]
Your version of Excel allows you to read this threaded comment; however, any edits to it will get removed if the file is opened in a newer version of Excel. Learn more: https://go.microsoft.com/fwlink/?linkid=870924
Comment:
    Because outcome variable is deselection, whereas default is full selection.</t>
      </text>
    </comment>
    <comment ref="BL30" authorId="5" shapeId="0" xr:uid="{CFA132CB-9247-453A-A9EA-B8DD017D0C05}">
      <text>
        <t>[Threaded comment]
Your version of Excel allows you to read this threaded comment; however, any edits to it will get removed if the file is opened in a newer version of Excel. Learn more: https://go.microsoft.com/fwlink/?linkid=870924
Comment:
    Estimated total n per group from overall reported sample size</t>
      </text>
    </comment>
    <comment ref="BL31" authorId="6" shapeId="0" xr:uid="{5A10323C-2DCD-4604-837E-2FD3DEBE539B}">
      <text>
        <t>[Threaded comment]
Your version of Excel allows you to read this threaded comment; however, any edits to it will get removed if the file is opened in a newer version of Excel. Learn more: https://go.microsoft.com/fwlink/?linkid=870924
Comment:
    Estimated total n per group from overall reported sample size</t>
      </text>
    </comment>
    <comment ref="BL32" authorId="7" shapeId="0" xr:uid="{9DA7AF7C-FFF8-4F34-9B80-EE2F0A419B2B}">
      <text>
        <t>[Threaded comment]
Your version of Excel allows you to read this threaded comment; however, any edits to it will get removed if the file is opened in a newer version of Excel. Learn more: https://go.microsoft.com/fwlink/?linkid=870924
Comment:
    Estimated total n per group from overall reported sample size</t>
      </text>
    </comment>
    <comment ref="BL33" authorId="8" shapeId="0" xr:uid="{4751CA4D-9C79-49FF-92C7-A49A3E5753D7}">
      <text>
        <t>[Threaded comment]
Your version of Excel allows you to read this threaded comment; however, any edits to it will get removed if the file is opened in a newer version of Excel. Learn more: https://go.microsoft.com/fwlink/?linkid=870924
Comment:
    Estimated total n per group from overall reported sample size</t>
      </text>
    </comment>
    <comment ref="BL34" authorId="9" shapeId="0" xr:uid="{2FF32B43-D73C-4682-979D-CE7928B0B06C}">
      <text>
        <t>[Threaded comment]
Your version of Excel allows you to read this threaded comment; however, any edits to it will get removed if the file is opened in a newer version of Excel. Learn more: https://go.microsoft.com/fwlink/?linkid=870924
Comment:
    Estimated total n per group from overall reported sample size</t>
      </text>
    </comment>
    <comment ref="A35" authorId="10" shapeId="0" xr:uid="{6238FB34-F87F-4739-A6AF-C3494CA41C80}">
      <text>
        <t>[Threaded comment]
Your version of Excel allows you to read this threaded comment; however, any edits to it will get removed if the file is opened in a newer version of Excel. Learn more: https://go.microsoft.com/fwlink/?linkid=870924
Comment:
    WP: Are Default Nudges Deemed Fairer When They Are More Transparent? People's Judgments Depend on the Circumstances of the Evaluation</t>
      </text>
    </comment>
    <comment ref="BR35" authorId="11" shapeId="0" xr:uid="{03E4878A-0D94-4D96-B989-B0782F2DE8E9}">
      <text>
        <t>[Threaded comment]
Your version of Excel allows you to read this threaded comment; however, any edits to it will get removed if the file is opened in a newer version of Excel. Learn more: https://go.microsoft.com/fwlink/?linkid=870924
Comment:
    Opt-in not adequate control and there is no transparent version of opt-in, so also no additional row.</t>
      </text>
    </comment>
    <comment ref="BR41" authorId="12" shapeId="0" xr:uid="{EB4003F2-D23C-4E44-B299-E7C492A41316}">
      <text>
        <t>[Threaded comment]
Your version of Excel allows you to read this threaded comment; however, any edits to it will get removed if the file is opened in a newer version of Excel. Learn more: https://go.microsoft.com/fwlink/?linkid=870924
Comment:
    Opt-in condition not adequte control because there is a default, no active choice. Also no opt-in+transparency, so no additional observations.</t>
      </text>
    </comment>
    <comment ref="BP45" authorId="13" shapeId="0" xr:uid="{C77838AC-1532-4EFE-B27A-084B1DF9358B}">
      <text>
        <t>[Threaded comment]
Your version of Excel allows you to read this threaded comment; however, any edits to it will get removed if the file is opened in a newer version of Excel. Learn more: https://go.microsoft.com/fwlink/?linkid=870924
Comment:
    No "no default" control group present</t>
      </text>
    </comment>
    <comment ref="AZ49" authorId="14" shapeId="0" xr:uid="{CACAF987-206F-4E77-8DC5-80E355E4747D}">
      <text>
        <t>[Threaded comment]
Your version of Excel allows you to read this threaded comment; however, any edits to it will get removed if the file is opened in a newer version of Excel. Learn more: https://go.microsoft.com/fwlink/?linkid=870924
Comment:
    Post-disclosed</t>
      </text>
    </comment>
    <comment ref="AK50" authorId="15" shapeId="0" xr:uid="{121B9FA3-B500-4C65-B62D-9B0CC21869AC}">
      <text>
        <t xml:space="preserve">[Threaded comment]
Your version of Excel allows you to read this threaded comment; however, any edits to it will get removed if the file is opened in a newer version of Excel. Learn more: https://go.microsoft.com/fwlink/?linkid=870924
Comment:
    Currently, I include findings from the complete set and they are attention checked. However, there would also be the possibility to only include those with a "disclosure check".
</t>
      </text>
    </comment>
    <comment ref="AX51" authorId="16" shapeId="0" xr:uid="{AFDA58BC-3DC1-4794-8410-43DD858606AA}">
      <text>
        <r>
          <rPr>
            <b/>
            <sz val="9"/>
            <color indexed="81"/>
            <rFont val="Tahoma"/>
            <family val="2"/>
          </rPr>
          <t>Hendrik Bruns:</t>
        </r>
        <r>
          <rPr>
            <sz val="9"/>
            <color indexed="81"/>
            <rFont val="Tahoma"/>
            <family val="2"/>
          </rPr>
          <t xml:space="preserve">
These are p-values from tests of main effects, not specifically for each type of nudge (opt-in, opt-out, active). No interaction effect reported though. 
</t>
        </r>
      </text>
    </comment>
    <comment ref="BJ68" authorId="17" shapeId="0" xr:uid="{D23CE2B0-CA28-465C-B543-FEE54810E3C6}">
      <text>
        <t>[Threaded comment]
Your version of Excel allows you to read this threaded comment; however, any edits to it will get removed if the file is opened in a newer version of Excel. Learn more: https://go.microsoft.com/fwlink/?linkid=870924
Comment:
    The n's here are estimated by dividing the reported n in the paper by the number of relevant treatment groups</t>
      </text>
    </comment>
    <comment ref="AL70" authorId="18" shapeId="0" xr:uid="{E40C6606-2284-4D17-96AB-A10C92FA313E}">
      <text>
        <t>[Threaded comment]
Your version of Excel allows you to read this threaded comment; however, any edits to it will get removed if the file is opened in a newer version of Excel. Learn more: https://go.microsoft.com/fwlink/?linkid=870924
Comment:
    Calculated based on weighted average ages per treatment groups</t>
      </text>
    </comment>
    <comment ref="AL71" authorId="19" shapeId="0" xr:uid="{B1BAE685-ADC7-44F7-B5C3-CD95A6E6BBED}">
      <text>
        <t>[Threaded comment]
Your version of Excel allows you to read this threaded comment; however, any edits to it will get removed if the file is opened in a newer version of Excel. Learn more: https://go.microsoft.com/fwlink/?linkid=870924
Comment:
    Calculated based on weighted average ages per treatment groups</t>
      </text>
    </comment>
    <comment ref="BQ72" authorId="20" shapeId="0" xr:uid="{339C7B54-91D6-43B6-A33D-B1F25407AA66}">
      <text>
        <t>[Threaded comment]
Your version of Excel allows you to read this threaded comment; however, any edits to it will get removed if the file is opened in a newer version of Excel. Learn more: https://go.microsoft.com/fwlink/?linkid=870924
Comment:
    Non-transparent aware condition not a real control group without default, as it sesems.</t>
      </text>
    </comment>
    <comment ref="BI73" authorId="21" shapeId="0" xr:uid="{ABCC3C7E-3D2E-4646-A162-B29B8A1DB123}">
      <text>
        <t>[Threaded comment]
Your version of Excel allows you to read this threaded comment; however, any edits to it will get removed if the file is opened in a newer version of Excel. Learn more: https://go.microsoft.com/fwlink/?linkid=870924
Comment:
    Paper shows opt-out rates in table 1, i.e., number of participants that do NOT choose the default, hence adapted here by substracting reported numbers from overall n in condition.</t>
      </text>
    </comment>
    <comment ref="BI75" authorId="22" shapeId="0" xr:uid="{C972DA62-54B7-4E8A-8A32-43573EF24E8C}">
      <text>
        <t>[Threaded comment]
Your version of Excel allows you to read this threaded comment; however, any edits to it will get removed if the file is opened in a newer version of Excel. Learn more: https://go.microsoft.com/fwlink/?linkid=870924
Comment:
    Same as with Study 1</t>
      </text>
    </comment>
    <comment ref="AX85" authorId="23" shapeId="0" xr:uid="{E24537D7-94EE-4C6B-B049-89485392950F}">
      <text>
        <t>[Threaded comment]
Your version of Excel allows you to read this threaded comment; however, any edits to it will get removed if the file is opened in a newer version of Excel. Learn more: https://go.microsoft.com/fwlink/?linkid=870924
Comment:
    df &lt;- tibble(read_excel("Nudge_mTurk_field_study analysis.xlsx"))[-1,]
describeBy(df$Sum[df$Disc_NoDisc == 0], df$OptIn_Out[df$Disc_NoDisc == 0])
describeBy(df$Sum[df$Disc_NoDisc == 1], df$OptIn_Out[df$Disc_NoDisc == 1])
describeBy(df$Sum, df$OptIn_Out)
t.test(df$Sum[df$OptIn_Out == 0] ~ df$Disc_NoDisc[df$OptIn_Out == 0])
t.test(df$Sum[df$OptIn_Out == 1] ~ df$Disc_NoDisc[df$OptIn_Out == 1])</t>
      </text>
    </comment>
    <comment ref="AZ85" authorId="24" shapeId="0" xr:uid="{5BC4E360-BEC9-4B14-9BD5-33D43479246D}">
      <text>
        <t>[Threaded comment]
Your version of Excel allows you to read this threaded comment; however, any edits to it will get removed if the file is opened in a newer version of Excel. Learn more: https://go.microsoft.com/fwlink/?linkid=870924
Comment:
    11 is the maximum number of surveys that can be done. Since the default here is 1 (instead of 10 as opt out) survey, the sign has to be inverted to reflect that the transparent nudge is actually more effective in lowering the number of surveys done.</t>
      </text>
    </comment>
    <comment ref="BC85" authorId="25" shapeId="0" xr:uid="{080E29FA-EAEB-4D85-9737-23AD419DA73D}">
      <text>
        <t>[Threaded comment]
Your version of Excel allows you to read this threaded comment; however, any edits to it will get removed if the file is opened in a newer version of Excel. Learn more: https://go.microsoft.com/fwlink/?linkid=870924
Comment:
    The n's here are estimated by dividing the reported n in the paper by the number of relevant treatment groups</t>
      </text>
    </comment>
    <comment ref="AA87" authorId="26" shapeId="0" xr:uid="{BFA20C0E-DFF8-4395-A81D-3004DFC45008}">
      <text>
        <t>[Threaded comment]
Your version of Excel allows you to read this threaded comment; however, any edits to it will get removed if the file is opened in a newer version of Excel. Learn more: https://go.microsoft.com/fwlink/?linkid=870924
Comment:
    The opt-in in this study is a default, because if there is no choice by participants, the default will be selected. It is no active choice environment, so not an adequate control group to estimate the nudge effect as in Michaelsen et al. (2024)</t>
      </text>
    </comment>
    <comment ref="AX93" authorId="16" shapeId="0" xr:uid="{91B9EE43-6821-4EC1-9236-7998DCC392FB}">
      <text>
        <r>
          <rPr>
            <b/>
            <sz val="9"/>
            <color indexed="81"/>
            <rFont val="Tahoma"/>
            <family val="2"/>
          </rPr>
          <t>Hendrik Bruns:</t>
        </r>
        <r>
          <rPr>
            <sz val="9"/>
            <color indexed="81"/>
            <rFont val="Tahoma"/>
            <family val="2"/>
          </rPr>
          <t xml:space="preserve">
calculated form t value and dfs from https://www.socscistatistics.com/pvalues/tdistribution.aspx
</t>
        </r>
      </text>
    </comment>
    <comment ref="AX110" authorId="16" shapeId="0" xr:uid="{CD2F05E6-420F-48C7-AC7C-C0A0CD6A1274}">
      <text>
        <r>
          <rPr>
            <b/>
            <sz val="9"/>
            <color indexed="81"/>
            <rFont val="Tahoma"/>
            <family val="2"/>
          </rPr>
          <t>Hendrik Bruns:</t>
        </r>
        <r>
          <rPr>
            <sz val="9"/>
            <color indexed="81"/>
            <rFont val="Tahoma"/>
            <family val="2"/>
          </rPr>
          <t xml:space="preserve">
resp. two identical p-values because they come from omnibus tests</t>
        </r>
      </text>
    </comment>
    <comment ref="BC114" authorId="27" shapeId="0" xr:uid="{1710761D-62A7-49F1-801A-332D35BF5440}">
      <text>
        <t>[Threaded comment]
Your version of Excel allows you to read this threaded comment; however, any edits to it will get removed if the file is opened in a newer version of Excel. Learn more: https://go.microsoft.com/fwlink/?linkid=870924
Comment:
    The N's are calculated based on data provided by Wachner et al</t>
      </text>
    </comment>
    <comment ref="BM114" authorId="28" shapeId="0" xr:uid="{C6E2ADF8-5031-41BF-AE8C-F1F2F4FA9297}">
      <text>
        <t>[Threaded comment]
Your version of Excel allows you to read this threaded comment; however, any edits to it will get removed if the file is opened in a newer version of Excel. Learn more: https://go.microsoft.com/fwlink/?linkid=870924
Comment:
    No control condition without default</t>
      </text>
    </comment>
  </commentList>
</comments>
</file>

<file path=xl/sharedStrings.xml><?xml version="1.0" encoding="utf-8"?>
<sst xmlns="http://schemas.openxmlformats.org/spreadsheetml/2006/main" count="3379" uniqueCount="306">
  <si>
    <t>reference</t>
  </si>
  <si>
    <t>Generalizability</t>
  </si>
  <si>
    <t>Reason</t>
  </si>
  <si>
    <t>year</t>
  </si>
  <si>
    <t>id</t>
  </si>
  <si>
    <t>withinstudyID</t>
  </si>
  <si>
    <t>studyID</t>
  </si>
  <si>
    <t>study_id</t>
  </si>
  <si>
    <t>dvID</t>
  </si>
  <si>
    <t>refID</t>
  </si>
  <si>
    <t>studyNR</t>
  </si>
  <si>
    <t>messageID</t>
  </si>
  <si>
    <t>transparencyMessage</t>
  </si>
  <si>
    <t>transparency1</t>
  </si>
  <si>
    <t>transparency2</t>
  </si>
  <si>
    <t>transparency3</t>
  </si>
  <si>
    <t>transparency4</t>
  </si>
  <si>
    <t>transparency5</t>
  </si>
  <si>
    <t>outcome</t>
  </si>
  <si>
    <t>outcometype</t>
  </si>
  <si>
    <t>outcomesubtype</t>
  </si>
  <si>
    <t>incentive</t>
  </si>
  <si>
    <t>nudge</t>
  </si>
  <si>
    <t>nudge-speciality</t>
  </si>
  <si>
    <t>intervention-category</t>
  </si>
  <si>
    <t>intervention-technique</t>
  </si>
  <si>
    <t>transparency-speciality</t>
  </si>
  <si>
    <t>context</t>
  </si>
  <si>
    <t>domain</t>
  </si>
  <si>
    <t>samplesize</t>
  </si>
  <si>
    <t>n_study</t>
  </si>
  <si>
    <t>meanage</t>
  </si>
  <si>
    <t>female</t>
  </si>
  <si>
    <t>sampletype</t>
  </si>
  <si>
    <t>sampleorigin</t>
  </si>
  <si>
    <t>experimenttype</t>
  </si>
  <si>
    <t>transparencyeffect</t>
  </si>
  <si>
    <t>potentially exclude (review)</t>
  </si>
  <si>
    <t>effect-size-type</t>
  </si>
  <si>
    <t>beta</t>
  </si>
  <si>
    <t>se</t>
  </si>
  <si>
    <t>Cohens-d-calculated</t>
  </si>
  <si>
    <t>p-value</t>
  </si>
  <si>
    <t>t-statistic</t>
  </si>
  <si>
    <t>Mc</t>
  </si>
  <si>
    <t>SEc</t>
  </si>
  <si>
    <t>SDc</t>
  </si>
  <si>
    <t>Nccont</t>
  </si>
  <si>
    <t>Me</t>
  </si>
  <si>
    <t>SEe</t>
  </si>
  <si>
    <t>SDe</t>
  </si>
  <si>
    <t>Necont</t>
  </si>
  <si>
    <t>pooled-sd</t>
  </si>
  <si>
    <t>Ec</t>
  </si>
  <si>
    <t>Nccount</t>
  </si>
  <si>
    <t>Ee</t>
  </si>
  <si>
    <t>Necount</t>
  </si>
  <si>
    <t>Mn</t>
  </si>
  <si>
    <t>Sen</t>
  </si>
  <si>
    <t>SDn</t>
  </si>
  <si>
    <t>Nncont</t>
  </si>
  <si>
    <t>En</t>
  </si>
  <si>
    <t>Nncount</t>
  </si>
  <si>
    <t>t1</t>
  </si>
  <si>
    <t>t2</t>
  </si>
  <si>
    <t>t3</t>
  </si>
  <si>
    <t>t4</t>
  </si>
  <si>
    <t>t5</t>
  </si>
  <si>
    <t>Effect</t>
  </si>
  <si>
    <t>Research</t>
  </si>
  <si>
    <t>Mechanism</t>
  </si>
  <si>
    <t>Unawareness</t>
  </si>
  <si>
    <t>Presence</t>
  </si>
  <si>
    <t>Experiment</t>
  </si>
  <si>
    <t>Goal</t>
  </si>
  <si>
    <t>Target</t>
  </si>
  <si>
    <t>Use</t>
  </si>
  <si>
    <t>In MA</t>
  </si>
  <si>
    <t>Bruns et al. (2018)</t>
  </si>
  <si>
    <t>Participants where given money to spend, with choices preselected as a nudge</t>
  </si>
  <si>
    <t>Please consider that the preselected default value might have an influence on your decision.</t>
  </si>
  <si>
    <t>Felt anger</t>
  </si>
  <si>
    <t>self-reported</t>
  </si>
  <si>
    <t>nudge reaction</t>
  </si>
  <si>
    <t>Default</t>
  </si>
  <si>
    <t>opt-out</t>
  </si>
  <si>
    <t>Decision structure</t>
  </si>
  <si>
    <t>Change choice defaults</t>
  </si>
  <si>
    <t>environment</t>
  </si>
  <si>
    <t>students</t>
  </si>
  <si>
    <t>Germany; The Netherlands</t>
  </si>
  <si>
    <t>Lab experiment</t>
  </si>
  <si>
    <t>mean</t>
  </si>
  <si>
    <t>0,454</t>
  </si>
  <si>
    <t>NA</t>
  </si>
  <si>
    <t>Please consider that the preselected default value might have an influence on your decision. This is meant to encourage higher contributions for the climate protection fund.</t>
  </si>
  <si>
    <t>Contribution to climate protection</t>
  </si>
  <si>
    <t>choice</t>
  </si>
  <si>
    <t>Perceived threat to freedom</t>
  </si>
  <si>
    <t>Please consider that the preselected default value is meant to encourage higher contributions for the climate protection fund.</t>
  </si>
  <si>
    <t>Cheung et al. (2019)</t>
  </si>
  <si>
    <t>Field experiment in a take-away food vendor, the nudge being the arrangement of food</t>
  </si>
  <si>
    <t>A sign was posted near the display saying ‘we help you make healthier choices’, thus disclosing the manipulation.</t>
  </si>
  <si>
    <t>Purchases of fresh fruits, healthy bread rolls, and yoghurt shakes</t>
  </si>
  <si>
    <t>Physical choice architecture</t>
  </si>
  <si>
    <t>Change option-related effort</t>
  </si>
  <si>
    <t>diet</t>
  </si>
  <si>
    <t>food</t>
  </si>
  <si>
    <t>adults</t>
  </si>
  <si>
    <t>The Netherlands</t>
  </si>
  <si>
    <t>Field experiment</t>
  </si>
  <si>
    <t>count</t>
  </si>
  <si>
    <t>Salience</t>
  </si>
  <si>
    <t>Decision information</t>
  </si>
  <si>
    <t>Make information visible</t>
  </si>
  <si>
    <t>Social Norm</t>
  </si>
  <si>
    <t>Provide social reference point</t>
  </si>
  <si>
    <t>Dranseika &amp; Piasecki (2020)</t>
  </si>
  <si>
    <t>Online participants were asked for they preference regarding management of personal health data, the nudge being pre-selected choice</t>
  </si>
  <si>
    <t>This research is about how people respond to 'defaults'. Defaults are decisions that go into effect if people do not take action to stop them, for example, by opting out. You will receive a mock consent form with a preselected choice and you can select a different option by typing you initials beside your preferred option.</t>
  </si>
  <si>
    <t>Consent to participate in learning activities within a learning health care system</t>
  </si>
  <si>
    <t>health</t>
  </si>
  <si>
    <t>35,7</t>
  </si>
  <si>
    <t>0,67</t>
  </si>
  <si>
    <t>UK</t>
  </si>
  <si>
    <t>Online experiment</t>
  </si>
  <si>
    <t>pre-informed</t>
  </si>
  <si>
    <t>opt-in</t>
  </si>
  <si>
    <t>Grad et al. (2021)</t>
  </si>
  <si>
    <t>Participants where given money to spend, with choices preselected, social norms and morality reminder as a nudge</t>
  </si>
  <si>
    <t>Before proceeding, please note that when asked to donate, the default choice (pre-selected) is set to donate. Changing which choice is the default choice is a method that can be used to affect behavior. This method is frequently used by companies and organizations to promote certain behavior. It has been proven to have a large impact on choices and behavior for example when giving consent for organ donations, choosing insurance policies, eating healthy and in many other situations.</t>
  </si>
  <si>
    <t>Charitable donation</t>
  </si>
  <si>
    <t>Moral nudge</t>
  </si>
  <si>
    <t>Decision assistance</t>
  </si>
  <si>
    <t>Facilitate commitment</t>
  </si>
  <si>
    <t>charity</t>
  </si>
  <si>
    <t>pro-social</t>
  </si>
  <si>
    <t>32,2</t>
  </si>
  <si>
    <t>0,49</t>
  </si>
  <si>
    <t>UK, US, PT, PL, others</t>
  </si>
  <si>
    <t>Große-Hokamp &amp; Weimann (2021)</t>
  </si>
  <si>
    <t>Participants played an economic game in the lab, the nudge being info regarding making cooperative choice</t>
  </si>
  <si>
    <t>We have changed the default rule, because empirical and experimental research have shown that people have a tendency to choose, or accept, default settings. Thus, setting a default rule, by which the complete endowment is contributed to the group project, causes contribution levels to increase and the group as a whole to be better off. This is the goal of the new default rule.</t>
  </si>
  <si>
    <t>Contribution to public good</t>
  </si>
  <si>
    <t>pre experience</t>
  </si>
  <si>
    <t>23,64</t>
  </si>
  <si>
    <t>Germany</t>
  </si>
  <si>
    <t>Hallez et al. (2021)</t>
  </si>
  <si>
    <t>Lab experiment where participants had to choose between food with info regarding choice by others or not</t>
  </si>
  <si>
    <t>The signes were [are] there to influence their [your] snack choice</t>
  </si>
  <si>
    <t>Snack choice</t>
  </si>
  <si>
    <t>20,96</t>
  </si>
  <si>
    <t>0,713</t>
  </si>
  <si>
    <t>Belgium</t>
  </si>
  <si>
    <t>Food liking</t>
  </si>
  <si>
    <t>intention</t>
  </si>
  <si>
    <t>Food wanting</t>
  </si>
  <si>
    <t>Kantorowicz Reznichenko (2021)</t>
  </si>
  <si>
    <t>Online experiment: participants had to chose between lotteries, the nudge being social information about the choice of previous players</t>
  </si>
  <si>
    <t>Please note, the reason you are presented with the information about the choice of majority of participants in a similar study is to influence your decision. The choice of presenting this information follows evidence from behavioural studies that demonstrate people are strongly influenced by the actions and beliefs of other people. The goal of providing you with this information is to help you to make the best monetary decision (i.e. choose the lottery with the higher expected return).</t>
  </si>
  <si>
    <t>Lottery choice</t>
  </si>
  <si>
    <t>lottery</t>
  </si>
  <si>
    <t>other</t>
  </si>
  <si>
    <t>34,8</t>
  </si>
  <si>
    <t>0,6123</t>
  </si>
  <si>
    <t>Please note, the reason you are presented with the information about the choice of majority of participants in a similar study is to influence your decision. The choice of presenting this information follows evidence from behavioural studies that demonstrate people are strongly influenced by the actions and beliefs of other people.</t>
  </si>
  <si>
    <t>nudge perception</t>
  </si>
  <si>
    <t>Liu et al. (2022)</t>
  </si>
  <si>
    <t>Participants are chinese non vaccinated against covid people, They where ask for their willingness to get vaccinated, with choices preselected as a nudge. Rated 2 because they did not measure the vaccination but the attitude toward vaccination during the survey</t>
  </si>
  <si>
    <t>Note. The policy that agrees to be vaccinated the default may affect your decision. Local government aims to increase the vaccination rate and advocate citizens for effective prevention and control of the epidemic.</t>
  </si>
  <si>
    <t>Willingness to be vaccinated against Covid-19</t>
  </si>
  <si>
    <t>29,77</t>
  </si>
  <si>
    <t>0,566</t>
  </si>
  <si>
    <t>CN</t>
  </si>
  <si>
    <t>Perceived ethicality</t>
  </si>
  <si>
    <t>Perceived deception and manipulation</t>
  </si>
  <si>
    <t>Trust in policy makers</t>
  </si>
  <si>
    <t>source perception</t>
  </si>
  <si>
    <t>Perceived freedom of choice</t>
  </si>
  <si>
    <t>US</t>
  </si>
  <si>
    <t>Michaelsen et al. (2020)</t>
  </si>
  <si>
    <t>Online participants make choice between vignettes, the nudge being pre-selected choice</t>
  </si>
  <si>
    <t>Please note! Donating the bonus is presented as the default (pre-selected) option. This is meant to make people more likely to donate.</t>
  </si>
  <si>
    <t>Perception as influencing own choice</t>
  </si>
  <si>
    <t>34,4</t>
  </si>
  <si>
    <t>0,495</t>
  </si>
  <si>
    <t>MTurk</t>
  </si>
  <si>
    <t>Estimated amount others would donate</t>
  </si>
  <si>
    <t>others perception</t>
  </si>
  <si>
    <t>0,544</t>
  </si>
  <si>
    <t>Perceived fairness</t>
  </si>
  <si>
    <t>Perception as making choosing easy</t>
  </si>
  <si>
    <t>Felt as expected to donate</t>
  </si>
  <si>
    <t>Perception as informing the chooser sufficiently</t>
  </si>
  <si>
    <t>Donation</t>
  </si>
  <si>
    <t>Perception as suggesting course of action</t>
  </si>
  <si>
    <t>Perception as influencing likelihood of donating</t>
  </si>
  <si>
    <t>Michaelsen et al. (2021)</t>
  </si>
  <si>
    <t>Use of a vignette of buying an appartment based on gree amenitites,</t>
  </si>
  <si>
    <t>When choice options are presented like this (= all/no//active green amenitites are included unless you make an active change), it may affect people's choices.
 When presented like this, if anything, people may end up with a relatively speakning HIGH/LOW/AVERAGE number of green amenities.+</t>
  </si>
  <si>
    <t>Choice satisfaction</t>
  </si>
  <si>
    <t>choice perception</t>
  </si>
  <si>
    <t>35,8</t>
  </si>
  <si>
    <t>0,483</t>
  </si>
  <si>
    <t>Number of green amenities</t>
  </si>
  <si>
    <t>How choice options are presented may affect people’s choices. In the current presentation format one of the options (= to donate/keep/select the bonus) is pre-selected and will be chosen unless you change it. Presenting choice options in this way could, relative to other presentation formats, result in a HIGHER/LOWER/MODERATE likelihood to donate the bonus.</t>
  </si>
  <si>
    <t>37,9</t>
  </si>
  <si>
    <t>0,527</t>
  </si>
  <si>
    <t>Experienced autonomy</t>
  </si>
  <si>
    <t>Choice to donate to charity after an online survey : opt-in/opt-out</t>
  </si>
  <si>
    <t>Objection to choice format</t>
  </si>
  <si>
    <t>Online experiment where the willingness to participant in an additional survey is the outcome measure of the nudge success, the nudge being yes or no preselected.</t>
  </si>
  <si>
    <t>We would like to inform you that we intentionally preselected "I AGREE" to encourage more people to help the students</t>
  </si>
  <si>
    <t>Choice of survey length</t>
  </si>
  <si>
    <t>survey</t>
  </si>
  <si>
    <t>38,3</t>
  </si>
  <si>
    <t>0,537</t>
  </si>
  <si>
    <t>0,463</t>
  </si>
  <si>
    <t>Perception of the choice architect</t>
  </si>
  <si>
    <t>Choice to participate voluntarily in future survey</t>
  </si>
  <si>
    <t>Michels et al. (2021)</t>
  </si>
  <si>
    <t>Experiment is a vignette online shopping and nudges are about finding the best food for the environment, the transparent nudge explaining that we modified the placement of</t>
  </si>
  <si>
    <t>We care about our customers. Therefore, we would like to inform you about recent scientific research that has shown that unhealthy food products (i.e. with a Nutri-Score of D or E) and an unbalanced diet are among the main causes of non-communicable diseases (e.g., diabetes, heart diseases etc.). These diseases account for over 20% of global deaths. Many people say that they are overwhelmed by the number of product features when they buy food products. As a result, even consumers who care about healthy nutrition often do not pay much attention to the healthiness of the food products they buy. Reducing the color intensity of unhealthy food products might help customers to focus on healthier products by decreasing the amount of attention unhealthy ones receive - yet leaving consumers the freedom to choose the products they want. To support our customers, we decided to reduce the color intensity of all unhealthy food products (i.e. with a Nutri-Score of D or E). See the picture below for an example. On the next pages, we will ask you to choose among a set of products in our store. For each product category, you are supposed to choose one item. Please remember that if a product is shown with reduced color intensity, it is considered unhealthy but is still available for purchase.</t>
  </si>
  <si>
    <t>Healthiness of food choice</t>
  </si>
  <si>
    <t>0,602</t>
  </si>
  <si>
    <t>Unhealthiness of food choice</t>
  </si>
  <si>
    <t>Paunov et al. (2018)</t>
  </si>
  <si>
    <t>Vignette : imagine being in a word...</t>
  </si>
  <si>
    <t>Please be advised, that our enrollment method is based on the scientific findings of Johnson and Goldstein (2013). The authors show that when people face a decision, they would often stay with the option, which is pre-selected. Therefore, we have pre-selected the elective courses for you, since we would like to direct you towards choosing them.</t>
  </si>
  <si>
    <t>Trust in endorser</t>
  </si>
  <si>
    <t>education</t>
  </si>
  <si>
    <t>Feeling of being deceived</t>
  </si>
  <si>
    <t>Choice of university courses</t>
  </si>
  <si>
    <t>Please note the following: based on the results of Johnson and Goldstein (2003) we know that in decision situations, people often stick with a choice option, which is preselected for them. Therefore, we have preselected a category for you, since we would want you to choose a study from this category.</t>
  </si>
  <si>
    <t>Paunov et al. (2019)</t>
  </si>
  <si>
    <t xml:space="preserve">Online experiment where the choice for a duration when participating in an online survey </t>
  </si>
  <si>
    <t>Please note the following: we know that in decision situations, people often stick with a choice option which is preselected for them. Therefore, we have preselected Category C (5–7 min).</t>
  </si>
  <si>
    <t>Online respondent panel, English speaking</t>
  </si>
  <si>
    <t>Please note the following: we would want you to choose Category C (5–7 min). Therefore, we have preselected this category.</t>
  </si>
  <si>
    <t>Please note the following: with choosing Category C (5–7 min), you guarantee that we will be able to accomplish our research objectives. Therefore, we have preselected this category.</t>
  </si>
  <si>
    <t>Paunov et al. (2020)</t>
  </si>
  <si>
    <t>Please note the following: with choosing Category C (5–7 min), you guarantee that we will be able to accomplish our research objectives.</t>
  </si>
  <si>
    <t>Steffel et al. (2016)</t>
  </si>
  <si>
    <t>As you may or may not know, research suggests that you are LESS likely to agree to a request (like whether to share information) when the request is made in an opt-in format (like this one) rather than an opt-out format. The Meter chose to make the sign-up process an OPT-IN format. This way, you are not 'nudged' toward agreeing to share your information with others.</t>
  </si>
  <si>
    <t>Perceived fairness of nudge (premium amenities)</t>
  </si>
  <si>
    <t>Number of amenities chosen (motive: business-benefitting)</t>
  </si>
  <si>
    <t>Number of amenities chosen (motive: society-benefitting)</t>
  </si>
  <si>
    <t>Intention to work with default setter again (motive: business-benefitting)</t>
  </si>
  <si>
    <t>Perceived fairness of nudge (green amenities)</t>
  </si>
  <si>
    <t>privacy</t>
  </si>
  <si>
    <t>Number of premium amenities</t>
  </si>
  <si>
    <t>Perceived ethicality of nudge (motive: society-benefitting)</t>
  </si>
  <si>
    <t>Perceived ethicality of nudge (motive: business-benefitting)</t>
  </si>
  <si>
    <t>Intention to work with default setter again (motive: society-benefitting)</t>
  </si>
  <si>
    <t>van Rookhuijzen et al. (2023)</t>
  </si>
  <si>
    <t>Please note the preselected default option. It is meant to encourage people to choose the longer version of this questionnaire. People are usually unaware of its influence.</t>
  </si>
  <si>
    <t>0,378</t>
  </si>
  <si>
    <t>UK, PL</t>
  </si>
  <si>
    <t>Wachner et al. (2020)</t>
  </si>
  <si>
    <t>Satisfaction with the choice</t>
  </si>
  <si>
    <t>Please note the preselected default option. It is meant to encourage people to choose the longer version of this questionnaire.</t>
  </si>
  <si>
    <t>Experienced pressure to choose the default</t>
  </si>
  <si>
    <t>Zhuo et al. (2022)</t>
  </si>
  <si>
    <t>Error : why is the total number of control group 714 instead of 606 ? see figure 2. Experiment is a vignette online shopping and nudges are about finding the best food for the environment, the transparent nudge explaining that we modified the placement of product to favorise environmental choice</t>
  </si>
  <si>
    <t>The products on this page have been ordered from the most environmentally sustainable to the least environmentally sustainable. This is to make it easier for you to choose a more sustainable product if you wish.</t>
  </si>
  <si>
    <t>Sustainability rating of chosen food items</t>
  </si>
  <si>
    <t>Ordering</t>
  </si>
  <si>
    <t>Change range or composition of options</t>
  </si>
  <si>
    <t>UK, US</t>
  </si>
  <si>
    <t>Preregistered</t>
  </si>
  <si>
    <t>out</t>
  </si>
  <si>
    <t>Michaelsen et al. (2024)</t>
  </si>
  <si>
    <t>Cohens-d-calculated-nudge-effect</t>
  </si>
  <si>
    <t>sample_only_manipulation_checked</t>
  </si>
  <si>
    <t>Experiment 1b</t>
  </si>
  <si>
    <t>Experiment 1c</t>
  </si>
  <si>
    <t>Experiment 2a</t>
  </si>
  <si>
    <t>Experiment 2b</t>
  </si>
  <si>
    <t>Study 2</t>
  </si>
  <si>
    <t>Study 1</t>
  </si>
  <si>
    <t>Main</t>
  </si>
  <si>
    <t>Study 3</t>
  </si>
  <si>
    <t>check-direction</t>
  </si>
  <si>
    <t>n_study_control</t>
  </si>
  <si>
    <t>positive_effect_norm</t>
  </si>
  <si>
    <t>study_article_label</t>
  </si>
  <si>
    <t>English or German speakers</t>
  </si>
  <si>
    <t>Not consent to participate in learning activities within a learning health care system</t>
  </si>
  <si>
    <t>Take hot chocolate without cream</t>
  </si>
  <si>
    <t>invert</t>
  </si>
  <si>
    <t>Leimstädtner et al. (2023)</t>
  </si>
  <si>
    <t>Please consider that the pre-selected default value might influence your decision</t>
  </si>
  <si>
    <t>Number of deselected privacy options</t>
  </si>
  <si>
    <t>Liu et al. (2023)</t>
  </si>
  <si>
    <t>This policy defaults that all employees are consenting to the welfare-cutting plan, which may influence your choice. The purpose of the policy is to increase employees' approval for the policy, thereby alleviating the company's financial stress during the pandemic.</t>
  </si>
  <si>
    <t>China</t>
  </si>
  <si>
    <t>Consent with welfare reducing policy</t>
  </si>
  <si>
    <t>Perceived trust</t>
  </si>
  <si>
    <t>Paunov et al. (2022)</t>
  </si>
  <si>
    <t>We are obligated to inform you on the following: We have pre-selected a category for you in order to facilitate choosing it. We would want you to choose category C, because with choosing it you guarantee that we will be able to accomplish our research objectives.</t>
  </si>
  <si>
    <t>We want to inform you that we have preselected a category for you. We would want you to choose category C, because with choosing it you guarantee that we will be able to accomplish our research objectives.</t>
  </si>
  <si>
    <t>Regulations* oblige us to disclose that we try to iinfluence your decision, and that we need to inform you about the reason for doing that: In decision situations, people often stick with a choice option which is preselected for them. Thus we preselected category C for you. We would want you to choose category C, because with choosing it you guarantee that we will be able to accomplish our research objectives.</t>
  </si>
  <si>
    <t>We want to be completely open that we try to influence your decision, and we want to share the reason for doing that: In decision situations, people often stick with a choice option which is preselected for them. Thus we have preselected category C for you. We would want you to choose category C, because with choosing it you guarantee that we will be able to accomplish our research objectives.</t>
  </si>
  <si>
    <t>Michels et al. (2023)</t>
  </si>
  <si>
    <t>We care about our customers. Therefore, we would like to inform you about recent scientific research that has shown that unhealthy food products (i.e., with a Nutri-Score of D or E) and an unbalanced diet are among the main causes of noncommunicable diseases (e.g., diabetes, heart diseases etc.). These diseases account for over 20% of global deaths. Many people say that they are overwhelmed by the number of product features when they buy food products. As a result, even consumers who care about healthy nutrition often do not pay much attention to the healthiness of the food products they buy. Reducing the colour intensity of unhealthy food products might help customers to focus on healthier products by decreasing the amount of attention unhealthy ones receive – yet leaving consumers the freedom to choose the products they want. To support our customers, we decided to reduce the colour intensity of all unhealthy food products (i.e., with a Nutri-Score of D or E). See the picture below for an example. On the next pages, we will ask you to choose among a set of products in our store. For each product category, you are supposed to choose one item. Please remember that if a product is shown with reduced colour intensity, it is considered unhealthy but is still available for purchase.</t>
  </si>
  <si>
    <t>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</si>
</sst>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1"/>
      <name val="Arial"/>
      <family val="2"/>
    </font>
    <font>
      <sz val="8"/>
      <name val="Calibri"/>
      <family val="2"/>
      <scheme val="minor"/>
    </font>
    <font>
      <sz val="9"/>
      <color indexed="81"/>
      <name val="Tahoma"/>
      <family val="2"/>
    </font>
    <font>
      <b/>
      <sz val="9"/>
      <color indexed="81"/>
      <name val="Tahoma"/>
      <family val="2"/>
    </font>
    <font>
      <sz val="11"/>
      <color rgb="FF444444"/>
      <name val="Arial"/>
      <family val="2"/>
    </font>
    <font>
      <sz val="11"/>
      <color rgb="FF000000"/>
      <name val="Arial"/>
      <family val="2"/>
    </font>
    <font>
      <sz val="10"/>
      <color rgb="FF000000"/>
      <name val="Arial"/>
      <family val="2"/>
    </font>
    <font>
      <sz val="11"/>
      <color rgb="FF000000"/>
      <name val="Arial"/>
      <family val="2"/>
    </font>
  </fonts>
  <fills count="6">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00B050"/>
        <bgColor indexed="64"/>
      </patternFill>
    </fill>
  </fills>
  <borders count="1">
    <border>
      <left/>
      <right/>
      <top/>
      <bottom/>
      <diagonal/>
    </border>
  </borders>
  <cellStyleXfs count="1">
    <xf numFmtId="0" fontId="0" fillId="0" borderId="0"/>
  </cellStyleXfs>
  <cellXfs count="22">
    <xf numFmtId="0" fontId="0" fillId="0" borderId="0" xfId="0"/>
    <xf numFmtId="0" fontId="0" fillId="0" borderId="0" xfId="0" applyAlignment="1">
      <alignment horizontal="left" vertical="top"/>
    </xf>
    <xf numFmtId="0" fontId="0" fillId="3" borderId="0" xfId="0" applyFill="1"/>
    <xf numFmtId="0" fontId="7" fillId="0" borderId="0" xfId="0" applyFont="1"/>
    <xf numFmtId="0" fontId="8" fillId="0" borderId="0" xfId="0" applyFont="1"/>
    <xf numFmtId="0" fontId="9" fillId="0" borderId="0" xfId="0" applyFont="1"/>
    <xf numFmtId="0" fontId="0" fillId="2" borderId="0" xfId="0" applyFill="1"/>
    <xf numFmtId="0" fontId="0" fillId="4" borderId="0" xfId="0" applyFill="1"/>
    <xf numFmtId="0" fontId="0" fillId="5" borderId="0" xfId="0" applyFill="1"/>
    <xf numFmtId="0" fontId="2" fillId="0" borderId="0" xfId="0" applyFont="1" applyAlignment="1">
      <alignment vertical="center"/>
    </xf>
    <xf numFmtId="1" fontId="7" fillId="0" borderId="0" xfId="0" applyNumberFormat="1" applyFont="1"/>
    <xf numFmtId="0" fontId="7" fillId="0" borderId="0" xfId="0" quotePrefix="1" applyFont="1"/>
    <xf numFmtId="2" fontId="1" fillId="0" borderId="0" xfId="0" applyNumberFormat="1" applyFont="1"/>
    <xf numFmtId="2" fontId="7" fillId="0" borderId="0" xfId="0" applyNumberFormat="1" applyFont="1"/>
    <xf numFmtId="2" fontId="1" fillId="0" borderId="0" xfId="0" applyNumberFormat="1" applyFont="1" applyAlignment="1">
      <alignment horizontal="left" vertical="top"/>
    </xf>
    <xf numFmtId="1" fontId="1" fillId="0" borderId="0" xfId="0" applyNumberFormat="1" applyFont="1" applyAlignment="1">
      <alignment horizontal="left" vertical="top"/>
    </xf>
    <xf numFmtId="1" fontId="1" fillId="0" borderId="0" xfId="0" applyNumberFormat="1" applyFont="1"/>
    <xf numFmtId="2" fontId="6" fillId="0" borderId="0" xfId="0" quotePrefix="1" applyNumberFormat="1" applyFont="1"/>
    <xf numFmtId="0" fontId="1" fillId="0" borderId="0" xfId="0" applyFont="1" applyAlignment="1">
      <alignment horizontal="left" vertical="top"/>
    </xf>
    <xf numFmtId="1" fontId="8" fillId="0" borderId="0" xfId="0" applyNumberFormat="1" applyFont="1"/>
    <xf numFmtId="1" fontId="0" fillId="0" borderId="0" xfId="0" applyNumberFormat="1" applyAlignment="1">
      <alignment horizontal="left" vertical="top"/>
    </xf>
    <xf numFmtId="2" fontId="1" fillId="0" borderId="0" xfId="0" applyNumberFormat="1" applyFont="1" applyAlignment="1">
      <alignment horizontal="center"/>
    </xf>
  </cellXfs>
  <cellStyles count="1">
    <cellStyle name="Normal" xfId="0" builtinId="0"/>
  </cellStyles>
  <dxfs count="0"/>
  <tableStyles count="0" defaultTableStyle="TableStyleMedium2" defaultPivotStyle="PivotStyleLight16"/>
  <colors>
    <mruColors>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UNS Hendrik (JRC)" id="{D953317A-B995-4BD4-A861-E2BABC6C3FC1}" userId="S::Hendrik.BRUNS@ec.europa.eu::1697c8ab-c5e9-4f3b-ae56-b9ba0b457245" providerId="AD"/>
  <person displayName="BRUNS Hendrik (JRC)" id="{C72A0C42-F347-46B9-9DA3-2D5C9117E658}" userId="S::hendrik.bruns@ec.europa.eu::1697c8ab-c5e9-4f3b-ae56-b9ba0b457245"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A14" dT="2024-07-06T07:13:56.89" personId="{D953317A-B995-4BD4-A861-E2BABC6C3FC1}" id="{25B477E3-5A44-4693-9E91-ADF50975D71F}">
    <text xml:space="preserve">These are still defaults, no active choice, so no adequate control group to measure default effect.
</text>
  </threadedComment>
  <threadedComment ref="BM14" dT="2024-07-06T07:45:50.23" personId="{D953317A-B995-4BD4-A861-E2BABC6C3FC1}" id="{10528171-3F48-4B51-9111-16C7B184521C}">
    <text>In the paper, they compare opt-in vs. Opt-out for clean default effect, but that does not correspon to "no default" as control group.</text>
  </threadedComment>
  <threadedComment ref="BR18" dT="2024-02-07T13:59:07.90" personId="{D953317A-B995-4BD4-A861-E2BABC6C3FC1}" id="{3372FF2F-8C31-42B6-93FE-2BEF82402CE1}">
    <text xml:space="preserve">Average of treatments D and E in stage 1 are without default, but they do not exist for stage 2. Thus we would compare stage 1 to treated stage 2 contributions, which would be biased.
</text>
  </threadedComment>
  <threadedComment ref="A24" dT="2024-07-20T14:07:01.55" personId="{D953317A-B995-4BD4-A861-E2BABC6C3FC1}" id="{700887A2-837D-4B7D-A888-7CBCC6C4A98F}">
    <text xml:space="preserve">We only include one DV because SelectionDivergence is derived from Choice
</text>
  </threadedComment>
  <threadedComment ref="AB24" dT="2024-07-20T14:06:01.02" personId="{D953317A-B995-4BD4-A861-E2BABC6C3FC1}" id="{DC6221F7-D818-4651-9805-1C2141EAA1F7}">
    <text>Because outcome variable is deselection, whereas default is full selection.</text>
  </threadedComment>
  <threadedComment ref="BL30" dT="2024-07-20T14:15:32.65" personId="{D953317A-B995-4BD4-A861-E2BABC6C3FC1}" id="{CFA132CB-9247-453A-A9EA-B8DD017D0C05}">
    <text>Estimated total n per group from overall reported sample size</text>
  </threadedComment>
  <threadedComment ref="BL31" dT="2024-07-20T14:15:32.65" personId="{D953317A-B995-4BD4-A861-E2BABC6C3FC1}" id="{5A10323C-2DCD-4604-837E-2FD3DEBE539B}">
    <text>Estimated total n per group from overall reported sample size</text>
  </threadedComment>
  <threadedComment ref="BL32" dT="2024-07-20T14:15:32.65" personId="{D953317A-B995-4BD4-A861-E2BABC6C3FC1}" id="{9DA7AF7C-FFF8-4F34-9B80-EE2F0A419B2B}">
    <text>Estimated total n per group from overall reported sample size</text>
  </threadedComment>
  <threadedComment ref="BL33" dT="2024-07-20T14:15:32.65" personId="{D953317A-B995-4BD4-A861-E2BABC6C3FC1}" id="{4751CA4D-9C79-49FF-92C7-A49A3E5753D7}">
    <text>Estimated total n per group from overall reported sample size</text>
  </threadedComment>
  <threadedComment ref="BL34" dT="2024-07-20T14:15:32.65" personId="{D953317A-B995-4BD4-A861-E2BABC6C3FC1}" id="{2FF32B43-D73C-4682-979D-CE7928B0B06C}">
    <text>Estimated total n per group from overall reported sample size</text>
  </threadedComment>
  <threadedComment ref="A35" dT="2024-07-05T09:34:15.90" personId="{D953317A-B995-4BD4-A861-E2BABC6C3FC1}" id="{6238FB34-F87F-4739-A6AF-C3494CA41C80}">
    <text>WP: Are Default Nudges Deemed Fairer When They Are More Transparent? People's Judgments Depend on the Circumstances of the Evaluation</text>
  </threadedComment>
  <threadedComment ref="BR35" dT="2024-07-05T09:49:14.90" personId="{D953317A-B995-4BD4-A861-E2BABC6C3FC1}" id="{03E4878A-0D94-4D96-B989-B0782F2DE8E9}">
    <text>Opt-in not adequate control and there is no transparent version of opt-in, so also no additional row.</text>
  </threadedComment>
  <threadedComment ref="BR41" dT="2024-07-05T09:58:58.44" personId="{D953317A-B995-4BD4-A861-E2BABC6C3FC1}" id="{EB4003F2-D23C-4E44-B299-E7C492A41316}">
    <text>Opt-in condition not adequte control because there is a default, no active choice. Also no opt-in+transparency, so no additional observations.</text>
  </threadedComment>
  <threadedComment ref="BP45" dT="2024-02-05T16:15:54.02" personId="{D953317A-B995-4BD4-A861-E2BABC6C3FC1}" id="{C77838AC-1532-4EFE-B27A-084B1DF9358B}">
    <text>No "no default" control group present</text>
  </threadedComment>
  <threadedComment ref="AZ49" dT="2024-07-05T10:22:13.10" personId="{D953317A-B995-4BD4-A861-E2BABC6C3FC1}" id="{CACAF987-206F-4E77-8DC5-80E355E4747D}">
    <text>Post-disclosed</text>
  </threadedComment>
  <threadedComment ref="AK50" dT="2024-07-06T13:05:36.18" personId="{D953317A-B995-4BD4-A861-E2BABC6C3FC1}" id="{121B9FA3-B500-4C65-B62D-9B0CC21869AC}">
    <text xml:space="preserve">Currently, I include findings from the complete set and they are attention checked. However, there would also be the possibility to only include those with a "disclosure check".
</text>
  </threadedComment>
  <threadedComment ref="BJ68" dT="2024-07-07T07:56:58.93" personId="{D953317A-B995-4BD4-A861-E2BABC6C3FC1}" id="{D23CE2B0-CA28-465C-B543-FEE54810E3C6}">
    <text>The n's here are estimated by dividing the reported n in the paper by the number of relevant treatment groups</text>
  </threadedComment>
  <threadedComment ref="AL70" dT="2024-07-21T10:29:00.53" personId="{D953317A-B995-4BD4-A861-E2BABC6C3FC1}" id="{E40C6606-2284-4D17-96AB-A10C92FA313E}">
    <text>Calculated based on weighted average ages per treatment groups</text>
  </threadedComment>
  <threadedComment ref="AL71" dT="2024-07-21T10:29:00.53" personId="{D953317A-B995-4BD4-A861-E2BABC6C3FC1}" id="{B1BAE685-ADC7-44F7-B5C3-CD95A6E6BBED}">
    <text>Calculated based on weighted average ages per treatment groups</text>
  </threadedComment>
  <threadedComment ref="BQ72" dT="2024-02-07T13:39:07.64" personId="{D953317A-B995-4BD4-A861-E2BABC6C3FC1}" id="{339C7B54-91D6-43B6-A33D-B1F25407AA66}">
    <text>Non-transparent aware condition not a real control group without default, as it sesems.</text>
  </threadedComment>
  <threadedComment ref="BI73" dT="2024-07-10T12:35:05.62" personId="{D953317A-B995-4BD4-A861-E2BABC6C3FC1}" id="{ABCC3C7E-3D2E-4646-A162-B29B8A1DB123}">
    <text>Paper shows opt-out rates in table 1, i.e., number of participants that do NOT choose the default, hence adapted here by substracting reported numbers from overall n in condition.</text>
  </threadedComment>
  <threadedComment ref="BI75" dT="2024-07-10T12:37:53.72" personId="{D953317A-B995-4BD4-A861-E2BABC6C3FC1}" id="{C972DA62-54B7-4E8A-8A32-43573EF24E8C}">
    <text>Same as with Study 1</text>
  </threadedComment>
  <threadedComment ref="AX85" dT="2022-09-01T15:28:52.41" personId="{C72A0C42-F347-46B9-9DA3-2D5C9117E658}" id="{E24537D7-94EE-4C6B-B049-89485392950F}">
    <text>df &lt;- tibble(read_excel("Nudge_mTurk_field_study analysis.xlsx"))[-1,]
describeBy(df$Sum[df$Disc_NoDisc == 0], df$OptIn_Out[df$Disc_NoDisc == 0])
describeBy(df$Sum[df$Disc_NoDisc == 1], df$OptIn_Out[df$Disc_NoDisc == 1])
describeBy(df$Sum, df$OptIn_Out)
t.test(df$Sum[df$OptIn_Out == 0] ~ df$Disc_NoDisc[df$OptIn_Out == 0])
t.test(df$Sum[df$OptIn_Out == 1] ~ df$Disc_NoDisc[df$OptIn_Out == 1])</text>
  </threadedComment>
  <threadedComment ref="AZ85" dT="2024-07-15T17:53:09.56" personId="{D953317A-B995-4BD4-A861-E2BABC6C3FC1}" id="{5BC4E360-BEC9-4B14-9BD5-33D43479246D}">
    <text>11 is the maximum number of surveys that can be done. Since the default here is 1 (instead of 10 as opt out) survey, the sign has to be inverted to reflect that the transparent nudge is actually more effective in lowering the number of surveys done.</text>
  </threadedComment>
  <threadedComment ref="BC85" dT="2024-07-07T07:56:42.43" personId="{D953317A-B995-4BD4-A861-E2BABC6C3FC1}" id="{080E29FA-EAEB-4D85-9737-23AD419DA73D}">
    <text>The n's here are estimated by dividing the reported n in the paper by the number of relevant treatment groups</text>
  </threadedComment>
  <threadedComment ref="AA87" dT="2024-07-04T12:16:12.04" personId="{D953317A-B995-4BD4-A861-E2BABC6C3FC1}" id="{BFA20C0E-DFF8-4395-A81D-3004DFC45008}">
    <text>The opt-in in this study is a default, because if there is no choice by participants, the default will be selected. It is no active choice environment, so not an adequate control group to estimate the nudge effect as in Michaelsen et al. (2024)</text>
  </threadedComment>
  <threadedComment ref="BC114" dT="2024-07-06T08:17:09.92" personId="{D953317A-B995-4BD4-A861-E2BABC6C3FC1}" id="{1710761D-62A7-49F1-801A-332D35BF5440}">
    <text>The N's are calculated based on data provided by Wachner et al</text>
  </threadedComment>
  <threadedComment ref="BM114" dT="2024-02-07T14:09:09.09" personId="{D953317A-B995-4BD4-A861-E2BABC6C3FC1}" id="{C6E2ADF8-5031-41BF-AE8C-F1F2F4FA9297}">
    <text>No control condition without default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D428B-8BE5-4609-BA48-979B9ACF3F1D}">
  <dimension ref="A1:CJ955"/>
  <sheetViews>
    <sheetView tabSelected="1" topLeftCell="C1" zoomScale="115" zoomScaleNormal="115" workbookViewId="0">
      <pane ySplit="1" topLeftCell="A2" activePane="bottomLeft" state="frozen"/>
      <selection pane="bottomLeft" activeCell="W21" sqref="W21"/>
    </sheetView>
  </sheetViews>
  <sheetFormatPr defaultRowHeight="14.5" x14ac:dyDescent="0.35"/>
  <cols>
    <col min="1" max="1" width="23.6328125" customWidth="1"/>
    <col min="2" max="8" width="8.81640625" customWidth="1"/>
    <col min="9" max="9" width="11.81640625" customWidth="1"/>
    <col min="10" max="10" width="9" customWidth="1"/>
    <col min="11" max="11" width="9.90625" customWidth="1"/>
    <col min="12" max="12" width="11.453125" customWidth="1"/>
    <col min="13" max="13" width="19.6328125" bestFit="1" customWidth="1"/>
    <col min="14" max="19" width="8.81640625" customWidth="1"/>
    <col min="20" max="20" width="9.54296875" customWidth="1"/>
    <col min="21" max="21" width="14" customWidth="1"/>
    <col min="22" max="22" width="9.1796875" customWidth="1"/>
    <col min="23" max="23" width="7.81640625" customWidth="1"/>
    <col min="24" max="24" width="18.36328125" customWidth="1"/>
    <col min="25" max="32" width="8.81640625" customWidth="1"/>
    <col min="33" max="33" width="7.08984375" customWidth="1"/>
    <col min="34" max="34" width="6.1796875" customWidth="1"/>
    <col min="35" max="35" width="6.81640625" customWidth="1"/>
    <col min="36" max="36" width="17.6328125" bestFit="1" customWidth="1"/>
    <col min="37" max="37" width="9.08984375" customWidth="1"/>
    <col min="38" max="47" width="8.81640625" customWidth="1"/>
    <col min="48" max="48" width="11.453125" customWidth="1"/>
    <col min="49" max="51" width="8.81640625" customWidth="1"/>
    <col min="60" max="60" width="8.81640625" customWidth="1"/>
    <col min="65" max="65" width="7" style="1" bestFit="1" customWidth="1"/>
    <col min="66" max="66" width="7.54296875" style="1" bestFit="1" customWidth="1"/>
    <col min="67" max="67" width="7.81640625" style="1" bestFit="1" customWidth="1"/>
    <col min="68" max="68" width="10.453125" style="1" bestFit="1" customWidth="1"/>
    <col min="69" max="69" width="9.453125" style="1" bestFit="1" customWidth="1"/>
    <col min="70" max="70" width="11.54296875" style="1" bestFit="1" customWidth="1"/>
    <col min="71" max="88" width="8.81640625" customWidth="1"/>
  </cols>
  <sheetData>
    <row r="1" spans="1:88" x14ac:dyDescent="0.35">
      <c r="A1" s="3" t="s">
        <v>0</v>
      </c>
      <c r="B1" s="3" t="s">
        <v>1</v>
      </c>
      <c r="C1" s="3" t="s">
        <v>2</v>
      </c>
      <c r="D1" s="3" t="s">
        <v>269</v>
      </c>
      <c r="E1" s="3" t="s">
        <v>3</v>
      </c>
      <c r="F1" s="3" t="s">
        <v>4</v>
      </c>
      <c r="G1" s="3" t="s">
        <v>5</v>
      </c>
      <c r="H1" s="3" t="s">
        <v>6</v>
      </c>
      <c r="I1" s="3" t="s">
        <v>7</v>
      </c>
      <c r="J1" s="3" t="s">
        <v>8</v>
      </c>
      <c r="K1" s="3" t="s">
        <v>9</v>
      </c>
      <c r="L1" s="3" t="s">
        <v>10</v>
      </c>
      <c r="M1" s="3" t="s">
        <v>285</v>
      </c>
      <c r="N1" s="3" t="s">
        <v>11</v>
      </c>
      <c r="O1" s="3" t="s">
        <v>12</v>
      </c>
      <c r="P1" s="3" t="s">
        <v>13</v>
      </c>
      <c r="Q1" s="3" t="s">
        <v>14</v>
      </c>
      <c r="R1" s="3" t="s">
        <v>15</v>
      </c>
      <c r="S1" s="3" t="s">
        <v>16</v>
      </c>
      <c r="T1" s="3" t="s">
        <v>17</v>
      </c>
      <c r="U1" s="3" t="s">
        <v>18</v>
      </c>
      <c r="V1" s="3" t="s">
        <v>19</v>
      </c>
      <c r="W1" s="3" t="s">
        <v>20</v>
      </c>
      <c r="X1" s="3" t="s">
        <v>284</v>
      </c>
      <c r="Y1" s="3" t="s">
        <v>21</v>
      </c>
      <c r="Z1" s="3" t="s">
        <v>22</v>
      </c>
      <c r="AA1" s="3" t="s">
        <v>23</v>
      </c>
      <c r="AB1" s="3" t="s">
        <v>289</v>
      </c>
      <c r="AC1" s="3" t="s">
        <v>24</v>
      </c>
      <c r="AD1" s="3" t="s">
        <v>25</v>
      </c>
      <c r="AE1" s="3" t="s">
        <v>26</v>
      </c>
      <c r="AF1" s="3" t="s">
        <v>27</v>
      </c>
      <c r="AG1" s="3" t="s">
        <v>28</v>
      </c>
      <c r="AH1" s="3" t="s">
        <v>29</v>
      </c>
      <c r="AI1" s="3" t="s">
        <v>30</v>
      </c>
      <c r="AJ1" s="3" t="s">
        <v>283</v>
      </c>
      <c r="AK1" s="3" t="s">
        <v>273</v>
      </c>
      <c r="AL1" s="3" t="s">
        <v>31</v>
      </c>
      <c r="AM1" s="3" t="s">
        <v>32</v>
      </c>
      <c r="AN1" s="3" t="s">
        <v>33</v>
      </c>
      <c r="AO1" s="3" t="s">
        <v>34</v>
      </c>
      <c r="AP1" s="3" t="s">
        <v>35</v>
      </c>
      <c r="AQ1" s="3" t="s">
        <v>36</v>
      </c>
      <c r="AR1" s="3" t="s">
        <v>37</v>
      </c>
      <c r="AS1" s="3" t="s">
        <v>38</v>
      </c>
      <c r="AT1" s="3" t="s">
        <v>39</v>
      </c>
      <c r="AU1" s="3" t="s">
        <v>40</v>
      </c>
      <c r="AV1" s="3" t="s">
        <v>41</v>
      </c>
      <c r="AW1" s="3" t="s">
        <v>272</v>
      </c>
      <c r="AX1" s="3" t="s">
        <v>42</v>
      </c>
      <c r="AY1" s="3" t="s">
        <v>43</v>
      </c>
      <c r="AZ1" s="3" t="s">
        <v>44</v>
      </c>
      <c r="BA1" s="3" t="s">
        <v>45</v>
      </c>
      <c r="BB1" s="3" t="s">
        <v>46</v>
      </c>
      <c r="BC1" s="3" t="s">
        <v>47</v>
      </c>
      <c r="BD1" s="3" t="s">
        <v>48</v>
      </c>
      <c r="BE1" s="3" t="s">
        <v>49</v>
      </c>
      <c r="BF1" s="3" t="s">
        <v>50</v>
      </c>
      <c r="BG1" s="3" t="s">
        <v>51</v>
      </c>
      <c r="BH1" s="3" t="s">
        <v>52</v>
      </c>
      <c r="BI1" s="3" t="s">
        <v>53</v>
      </c>
      <c r="BJ1" s="3" t="s">
        <v>54</v>
      </c>
      <c r="BK1" s="3" t="s">
        <v>55</v>
      </c>
      <c r="BL1" s="3" t="s">
        <v>56</v>
      </c>
      <c r="BM1" s="9" t="s">
        <v>57</v>
      </c>
      <c r="BN1" s="9" t="s">
        <v>58</v>
      </c>
      <c r="BO1" s="9" t="s">
        <v>59</v>
      </c>
      <c r="BP1" s="9" t="s">
        <v>60</v>
      </c>
      <c r="BQ1" s="9" t="s">
        <v>61</v>
      </c>
      <c r="BR1" s="9" t="s">
        <v>62</v>
      </c>
      <c r="BS1" s="3" t="s">
        <v>63</v>
      </c>
      <c r="BT1" s="3" t="s">
        <v>64</v>
      </c>
      <c r="BU1" s="3" t="s">
        <v>65</v>
      </c>
      <c r="BV1" s="3" t="s">
        <v>66</v>
      </c>
      <c r="BW1" s="3" t="s">
        <v>67</v>
      </c>
      <c r="BX1" s="3" t="s">
        <v>68</v>
      </c>
      <c r="BY1" s="3" t="s">
        <v>69</v>
      </c>
      <c r="BZ1" s="3" t="s">
        <v>70</v>
      </c>
      <c r="CA1" s="3" t="s">
        <v>71</v>
      </c>
      <c r="CB1" s="3" t="s">
        <v>72</v>
      </c>
      <c r="CC1" s="3" t="s">
        <v>73</v>
      </c>
      <c r="CD1" s="3" t="s">
        <v>74</v>
      </c>
      <c r="CE1" s="3" t="s">
        <v>75</v>
      </c>
      <c r="CF1" s="3" t="s">
        <v>76</v>
      </c>
      <c r="CH1" s="3" t="s">
        <v>77</v>
      </c>
      <c r="CI1" s="3" t="s">
        <v>270</v>
      </c>
      <c r="CJ1" s="5" t="s">
        <v>282</v>
      </c>
    </row>
    <row r="2" spans="1:88" ht="14.4" x14ac:dyDescent="0.35">
      <c r="A2" s="3" t="s">
        <v>78</v>
      </c>
      <c r="B2" s="3">
        <v>2</v>
      </c>
      <c r="C2" s="3" t="s">
        <v>79</v>
      </c>
      <c r="D2" s="3">
        <v>0</v>
      </c>
      <c r="E2" s="3">
        <v>2018</v>
      </c>
      <c r="F2" s="3">
        <v>1</v>
      </c>
      <c r="G2" s="3">
        <v>1</v>
      </c>
      <c r="H2" s="3">
        <v>9</v>
      </c>
      <c r="I2" s="3">
        <v>1</v>
      </c>
      <c r="J2" s="3">
        <v>15</v>
      </c>
      <c r="K2" s="3">
        <v>1</v>
      </c>
      <c r="L2" s="3">
        <v>1</v>
      </c>
      <c r="M2" s="3" t="s">
        <v>280</v>
      </c>
      <c r="N2" s="3">
        <v>5</v>
      </c>
      <c r="O2" s="3" t="s">
        <v>80</v>
      </c>
      <c r="P2" s="3" t="s">
        <v>68</v>
      </c>
      <c r="Q2" s="3">
        <v>0</v>
      </c>
      <c r="R2" s="3">
        <v>0</v>
      </c>
      <c r="S2" s="3">
        <v>0</v>
      </c>
      <c r="T2" s="3">
        <v>0</v>
      </c>
      <c r="U2" s="3" t="s">
        <v>81</v>
      </c>
      <c r="V2" s="3" t="s">
        <v>82</v>
      </c>
      <c r="W2" s="3" t="s">
        <v>83</v>
      </c>
      <c r="X2" s="3">
        <v>-1</v>
      </c>
      <c r="Y2" s="3">
        <v>0</v>
      </c>
      <c r="Z2" s="3" t="s">
        <v>84</v>
      </c>
      <c r="AA2" s="3" t="s">
        <v>85</v>
      </c>
      <c r="AB2" s="3" t="s">
        <v>94</v>
      </c>
      <c r="AC2" s="3" t="s">
        <v>86</v>
      </c>
      <c r="AD2" s="3" t="s">
        <v>87</v>
      </c>
      <c r="AE2" s="3">
        <v>0</v>
      </c>
      <c r="AF2" s="3" t="s">
        <v>88</v>
      </c>
      <c r="AG2" s="3" t="s">
        <v>88</v>
      </c>
      <c r="AH2" s="10">
        <f t="shared" ref="AH2:AH10" si="0">SUM(BC2,BG2,BP2)</f>
        <v>333</v>
      </c>
      <c r="AI2" s="10">
        <f t="shared" ref="AI2:AI10" si="1">SUM(BC2,BG2)</f>
        <v>333</v>
      </c>
      <c r="AJ2" s="10" t="s">
        <v>94</v>
      </c>
      <c r="AK2" s="10">
        <v>0</v>
      </c>
      <c r="AL2" s="3">
        <v>23.78</v>
      </c>
      <c r="AM2" s="3">
        <v>0.56999999999999995</v>
      </c>
      <c r="AN2" s="3" t="s">
        <v>89</v>
      </c>
      <c r="AO2" s="3" t="s">
        <v>90</v>
      </c>
      <c r="AP2" s="3" t="s">
        <v>91</v>
      </c>
      <c r="AQ2" s="3">
        <v>0</v>
      </c>
      <c r="AR2" s="3">
        <v>0</v>
      </c>
      <c r="AS2" s="3" t="s">
        <v>92</v>
      </c>
      <c r="AT2" s="11">
        <v>-0.17</v>
      </c>
      <c r="AU2" s="3">
        <v>0.22</v>
      </c>
      <c r="AV2" s="12">
        <f t="shared" ref="AV2:AV10" si="2">(BD2-AZ2)/(SQRT((BB2^2+BF2^2)/2))</f>
        <v>-4.9750628074549892E-2</v>
      </c>
      <c r="AW2" s="12" t="s">
        <v>94</v>
      </c>
      <c r="AX2" s="12">
        <v>0.45400000000000001</v>
      </c>
      <c r="AY2" s="13"/>
      <c r="AZ2" s="3">
        <v>0.65</v>
      </c>
      <c r="BA2" s="13"/>
      <c r="BB2" s="13">
        <v>1</v>
      </c>
      <c r="BC2" s="10">
        <v>171</v>
      </c>
      <c r="BD2" s="3">
        <v>0.6</v>
      </c>
      <c r="BE2" s="13"/>
      <c r="BF2" s="3">
        <v>1.01</v>
      </c>
      <c r="BG2" s="10">
        <v>162</v>
      </c>
      <c r="BH2" s="13"/>
      <c r="BI2" s="10"/>
      <c r="BJ2" s="10"/>
      <c r="BK2" s="10"/>
      <c r="BL2" s="10"/>
      <c r="BM2" s="14" t="s">
        <v>94</v>
      </c>
      <c r="BN2" s="14"/>
      <c r="BO2" s="14" t="s">
        <v>94</v>
      </c>
      <c r="BP2" s="15" t="s">
        <v>94</v>
      </c>
      <c r="BQ2" s="16"/>
      <c r="BR2" s="16"/>
      <c r="BS2" s="3" t="s">
        <v>68</v>
      </c>
      <c r="BT2" s="3">
        <v>0</v>
      </c>
      <c r="BU2" s="3">
        <v>0</v>
      </c>
      <c r="BV2" s="3">
        <v>0</v>
      </c>
      <c r="BW2" s="3">
        <v>0</v>
      </c>
      <c r="BX2" s="3">
        <v>1</v>
      </c>
      <c r="BY2" s="3">
        <v>0</v>
      </c>
      <c r="BZ2" s="3">
        <v>0</v>
      </c>
      <c r="CA2" s="3">
        <v>0</v>
      </c>
      <c r="CB2" s="3">
        <v>0</v>
      </c>
      <c r="CC2" s="3">
        <v>0</v>
      </c>
      <c r="CD2" s="3">
        <v>0</v>
      </c>
      <c r="CE2" s="3">
        <v>0</v>
      </c>
      <c r="CF2" s="3">
        <v>0</v>
      </c>
      <c r="CH2" s="3">
        <v>1</v>
      </c>
      <c r="CI2" s="3">
        <v>0</v>
      </c>
      <c r="CJ2" s="5">
        <v>0</v>
      </c>
    </row>
    <row r="3" spans="1:88" ht="14.4" x14ac:dyDescent="0.35">
      <c r="A3" s="3" t="s">
        <v>78</v>
      </c>
      <c r="B3" s="3">
        <v>2</v>
      </c>
      <c r="C3" s="3" t="s">
        <v>79</v>
      </c>
      <c r="D3" s="3">
        <v>0</v>
      </c>
      <c r="E3" s="3">
        <v>2018</v>
      </c>
      <c r="F3" s="3">
        <v>2</v>
      </c>
      <c r="G3" s="3">
        <v>1</v>
      </c>
      <c r="H3" s="3">
        <v>9</v>
      </c>
      <c r="I3" s="3">
        <v>1</v>
      </c>
      <c r="J3" s="3">
        <v>14</v>
      </c>
      <c r="K3" s="3">
        <v>1</v>
      </c>
      <c r="L3" s="3">
        <v>1</v>
      </c>
      <c r="M3" s="3" t="s">
        <v>280</v>
      </c>
      <c r="N3" s="3">
        <v>5</v>
      </c>
      <c r="O3" s="3" t="s">
        <v>80</v>
      </c>
      <c r="P3" s="3" t="s">
        <v>68</v>
      </c>
      <c r="Q3" s="3">
        <v>0</v>
      </c>
      <c r="R3" s="3">
        <v>0</v>
      </c>
      <c r="S3" s="3">
        <v>0</v>
      </c>
      <c r="T3" s="3">
        <v>0</v>
      </c>
      <c r="U3" s="3" t="s">
        <v>98</v>
      </c>
      <c r="V3" s="3" t="s">
        <v>82</v>
      </c>
      <c r="W3" s="3" t="s">
        <v>83</v>
      </c>
      <c r="X3" s="3">
        <v>-1</v>
      </c>
      <c r="Y3" s="3">
        <v>0</v>
      </c>
      <c r="Z3" s="3" t="s">
        <v>84</v>
      </c>
      <c r="AA3" s="3" t="s">
        <v>85</v>
      </c>
      <c r="AB3" s="3" t="s">
        <v>94</v>
      </c>
      <c r="AC3" s="3" t="s">
        <v>86</v>
      </c>
      <c r="AD3" s="3" t="s">
        <v>87</v>
      </c>
      <c r="AE3" s="3">
        <v>0</v>
      </c>
      <c r="AF3" s="3" t="s">
        <v>88</v>
      </c>
      <c r="AG3" s="3" t="s">
        <v>88</v>
      </c>
      <c r="AH3" s="10">
        <f t="shared" si="0"/>
        <v>333</v>
      </c>
      <c r="AI3" s="10">
        <f t="shared" si="1"/>
        <v>333</v>
      </c>
      <c r="AJ3" s="10" t="s">
        <v>94</v>
      </c>
      <c r="AK3" s="10">
        <v>0</v>
      </c>
      <c r="AL3" s="3">
        <v>23.75</v>
      </c>
      <c r="AM3" s="3">
        <v>0.54</v>
      </c>
      <c r="AN3" s="3" t="s">
        <v>89</v>
      </c>
      <c r="AO3" s="3" t="s">
        <v>90</v>
      </c>
      <c r="AP3" s="3" t="s">
        <v>91</v>
      </c>
      <c r="AQ3" s="3">
        <v>0</v>
      </c>
      <c r="AR3" s="3">
        <v>0</v>
      </c>
      <c r="AS3" s="3" t="s">
        <v>92</v>
      </c>
      <c r="AT3" s="13">
        <v>0</v>
      </c>
      <c r="AU3" s="3">
        <v>0.2</v>
      </c>
      <c r="AV3" s="12">
        <f t="shared" si="2"/>
        <v>-2.3426064283290755E-2</v>
      </c>
      <c r="AW3" s="12" t="s">
        <v>94</v>
      </c>
      <c r="AX3" s="12">
        <v>0.98799999999999999</v>
      </c>
      <c r="AY3" s="13"/>
      <c r="AZ3" s="3">
        <v>2.13</v>
      </c>
      <c r="BA3" s="13"/>
      <c r="BB3" s="3">
        <v>1.24</v>
      </c>
      <c r="BC3" s="10">
        <v>171</v>
      </c>
      <c r="BD3" s="3">
        <v>2.1</v>
      </c>
      <c r="BE3" s="13"/>
      <c r="BF3" s="3">
        <v>1.32</v>
      </c>
      <c r="BG3" s="10">
        <v>162</v>
      </c>
      <c r="BH3" s="13"/>
      <c r="BI3" s="10"/>
      <c r="BJ3" s="10"/>
      <c r="BK3" s="10"/>
      <c r="BL3" s="10"/>
      <c r="BM3" s="14" t="s">
        <v>94</v>
      </c>
      <c r="BN3" s="14"/>
      <c r="BO3" s="14" t="s">
        <v>94</v>
      </c>
      <c r="BP3" s="15" t="s">
        <v>94</v>
      </c>
      <c r="BQ3" s="16"/>
      <c r="BR3" s="16"/>
      <c r="BS3" s="3" t="s">
        <v>68</v>
      </c>
      <c r="BT3" s="3">
        <v>0</v>
      </c>
      <c r="BU3" s="3">
        <v>0</v>
      </c>
      <c r="BV3" s="3">
        <v>0</v>
      </c>
      <c r="BW3" s="3">
        <v>0</v>
      </c>
      <c r="BX3" s="3">
        <v>1</v>
      </c>
      <c r="BY3" s="3">
        <v>0</v>
      </c>
      <c r="BZ3" s="3">
        <v>0</v>
      </c>
      <c r="CA3" s="3">
        <v>0</v>
      </c>
      <c r="CB3" s="3">
        <v>0</v>
      </c>
      <c r="CC3" s="3">
        <v>0</v>
      </c>
      <c r="CD3" s="3">
        <v>0</v>
      </c>
      <c r="CE3" s="3">
        <v>0</v>
      </c>
      <c r="CF3" s="3">
        <v>0</v>
      </c>
      <c r="CH3" s="3">
        <v>1</v>
      </c>
      <c r="CI3" s="3">
        <v>0</v>
      </c>
      <c r="CJ3" s="5">
        <v>0</v>
      </c>
    </row>
    <row r="4" spans="1:88" ht="14.4" x14ac:dyDescent="0.35">
      <c r="A4" s="3" t="s">
        <v>78</v>
      </c>
      <c r="B4" s="3">
        <v>2</v>
      </c>
      <c r="C4" s="3" t="s">
        <v>79</v>
      </c>
      <c r="D4" s="3">
        <v>0</v>
      </c>
      <c r="E4" s="3">
        <v>2018</v>
      </c>
      <c r="F4" s="3">
        <v>3</v>
      </c>
      <c r="G4" s="3">
        <v>1</v>
      </c>
      <c r="H4" s="3">
        <v>9</v>
      </c>
      <c r="I4" s="3">
        <v>1</v>
      </c>
      <c r="J4" s="3">
        <v>13</v>
      </c>
      <c r="K4" s="3">
        <v>1</v>
      </c>
      <c r="L4" s="3">
        <v>1</v>
      </c>
      <c r="M4" s="3" t="s">
        <v>280</v>
      </c>
      <c r="N4" s="3">
        <v>5</v>
      </c>
      <c r="O4" s="3" t="s">
        <v>80</v>
      </c>
      <c r="P4" s="3" t="s">
        <v>68</v>
      </c>
      <c r="Q4" s="3">
        <v>0</v>
      </c>
      <c r="R4" s="3">
        <v>0</v>
      </c>
      <c r="S4" s="3">
        <v>0</v>
      </c>
      <c r="T4" s="3">
        <v>0</v>
      </c>
      <c r="U4" s="3" t="s">
        <v>96</v>
      </c>
      <c r="V4" s="3" t="s">
        <v>97</v>
      </c>
      <c r="W4" s="3" t="s">
        <v>97</v>
      </c>
      <c r="X4" s="3">
        <v>1</v>
      </c>
      <c r="Y4" s="3">
        <v>1</v>
      </c>
      <c r="Z4" s="3" t="s">
        <v>84</v>
      </c>
      <c r="AA4" s="3" t="s">
        <v>85</v>
      </c>
      <c r="AB4" s="3" t="s">
        <v>94</v>
      </c>
      <c r="AC4" s="3" t="s">
        <v>86</v>
      </c>
      <c r="AD4" s="3" t="s">
        <v>87</v>
      </c>
      <c r="AE4" s="3">
        <v>0</v>
      </c>
      <c r="AF4" s="3" t="s">
        <v>88</v>
      </c>
      <c r="AG4" s="3" t="s">
        <v>88</v>
      </c>
      <c r="AH4" s="10">
        <f t="shared" si="0"/>
        <v>418</v>
      </c>
      <c r="AI4" s="10">
        <f t="shared" si="1"/>
        <v>333</v>
      </c>
      <c r="AJ4" s="10">
        <f>SUM(BP4,BC4)</f>
        <v>256</v>
      </c>
      <c r="AK4" s="10">
        <v>0</v>
      </c>
      <c r="AL4" s="3">
        <v>23.74</v>
      </c>
      <c r="AM4" s="3">
        <v>0.53</v>
      </c>
      <c r="AN4" s="3" t="s">
        <v>89</v>
      </c>
      <c r="AO4" s="3" t="s">
        <v>90</v>
      </c>
      <c r="AP4" s="3" t="s">
        <v>91</v>
      </c>
      <c r="AQ4" s="3">
        <v>0</v>
      </c>
      <c r="AR4" s="3">
        <v>0</v>
      </c>
      <c r="AS4" s="3" t="s">
        <v>92</v>
      </c>
      <c r="AT4" s="3">
        <v>0.17</v>
      </c>
      <c r="AU4" s="3">
        <v>0.44</v>
      </c>
      <c r="AV4" s="12">
        <f t="shared" si="2"/>
        <v>3.0201342281879148E-2</v>
      </c>
      <c r="AW4" s="12">
        <f>(AZ4-BM4)/(SQRT((BO4^2+BB4^2)/2))</f>
        <v>0.40006580055426649</v>
      </c>
      <c r="AX4" s="12">
        <v>0.66500000000000004</v>
      </c>
      <c r="AY4" s="13"/>
      <c r="AZ4" s="3">
        <v>2.95</v>
      </c>
      <c r="BA4" s="13"/>
      <c r="BB4" s="3">
        <v>2.98</v>
      </c>
      <c r="BC4" s="10">
        <v>171</v>
      </c>
      <c r="BD4" s="3">
        <v>3.04</v>
      </c>
      <c r="BE4" s="13"/>
      <c r="BF4" s="3">
        <v>2.98</v>
      </c>
      <c r="BG4" s="10">
        <v>162</v>
      </c>
      <c r="BH4" s="13"/>
      <c r="BI4" s="10"/>
      <c r="BJ4" s="10"/>
      <c r="BK4" s="10"/>
      <c r="BL4" s="10"/>
      <c r="BM4" s="12">
        <v>1.82</v>
      </c>
      <c r="BN4" s="12"/>
      <c r="BO4" s="12">
        <v>2.66</v>
      </c>
      <c r="BP4" s="16">
        <v>85</v>
      </c>
      <c r="BQ4" s="16"/>
      <c r="BR4" s="16"/>
      <c r="BS4" s="3" t="s">
        <v>68</v>
      </c>
      <c r="BT4" s="3">
        <v>0</v>
      </c>
      <c r="BU4" s="3">
        <v>0</v>
      </c>
      <c r="BV4" s="3">
        <v>0</v>
      </c>
      <c r="BW4" s="3">
        <v>0</v>
      </c>
      <c r="BX4" s="3">
        <v>1</v>
      </c>
      <c r="BY4" s="3">
        <v>0</v>
      </c>
      <c r="BZ4" s="3">
        <v>0</v>
      </c>
      <c r="CA4" s="3">
        <v>0</v>
      </c>
      <c r="CB4" s="3">
        <v>0</v>
      </c>
      <c r="CC4" s="3">
        <v>0</v>
      </c>
      <c r="CD4" s="3">
        <v>0</v>
      </c>
      <c r="CE4" s="3">
        <v>0</v>
      </c>
      <c r="CF4" s="3">
        <v>0</v>
      </c>
      <c r="CH4" s="3">
        <v>1</v>
      </c>
      <c r="CI4" s="3">
        <v>0</v>
      </c>
      <c r="CJ4" s="5">
        <v>0</v>
      </c>
    </row>
    <row r="5" spans="1:88" ht="14.4" x14ac:dyDescent="0.35">
      <c r="A5" s="3" t="s">
        <v>78</v>
      </c>
      <c r="B5" s="3">
        <v>2</v>
      </c>
      <c r="C5" s="3" t="s">
        <v>79</v>
      </c>
      <c r="D5" s="3">
        <v>0</v>
      </c>
      <c r="E5" s="3">
        <v>2018</v>
      </c>
      <c r="F5" s="3">
        <v>4</v>
      </c>
      <c r="G5" s="3">
        <v>1</v>
      </c>
      <c r="H5" s="3">
        <v>9</v>
      </c>
      <c r="I5" s="3">
        <v>2</v>
      </c>
      <c r="J5" s="3">
        <v>13</v>
      </c>
      <c r="K5" s="3">
        <v>1</v>
      </c>
      <c r="L5" s="3">
        <v>1</v>
      </c>
      <c r="M5" s="3" t="s">
        <v>280</v>
      </c>
      <c r="N5" s="3">
        <v>6</v>
      </c>
      <c r="O5" s="3" t="s">
        <v>99</v>
      </c>
      <c r="P5" s="3" t="s">
        <v>74</v>
      </c>
      <c r="Q5" s="3">
        <v>0</v>
      </c>
      <c r="R5" s="3">
        <v>0</v>
      </c>
      <c r="S5" s="3">
        <v>0</v>
      </c>
      <c r="T5" s="3">
        <v>0</v>
      </c>
      <c r="U5" s="3" t="s">
        <v>96</v>
      </c>
      <c r="V5" s="3" t="s">
        <v>97</v>
      </c>
      <c r="W5" s="3" t="s">
        <v>97</v>
      </c>
      <c r="X5" s="3">
        <v>1</v>
      </c>
      <c r="Y5" s="3">
        <v>1</v>
      </c>
      <c r="Z5" s="3" t="s">
        <v>84</v>
      </c>
      <c r="AA5" s="3" t="s">
        <v>85</v>
      </c>
      <c r="AB5" s="3" t="s">
        <v>94</v>
      </c>
      <c r="AC5" s="3" t="s">
        <v>86</v>
      </c>
      <c r="AD5" s="3" t="s">
        <v>87</v>
      </c>
      <c r="AE5" s="3">
        <v>0</v>
      </c>
      <c r="AF5" s="3" t="s">
        <v>88</v>
      </c>
      <c r="AG5" s="3" t="s">
        <v>88</v>
      </c>
      <c r="AH5" s="10">
        <f t="shared" si="0"/>
        <v>295</v>
      </c>
      <c r="AI5" s="10">
        <f t="shared" si="1"/>
        <v>210</v>
      </c>
      <c r="AJ5" s="10">
        <f>SUM(BP5,BC5)</f>
        <v>256</v>
      </c>
      <c r="AK5" s="10">
        <v>0</v>
      </c>
      <c r="AL5" s="3">
        <v>23.74</v>
      </c>
      <c r="AM5" s="3">
        <v>0.53</v>
      </c>
      <c r="AN5" s="3" t="s">
        <v>89</v>
      </c>
      <c r="AO5" s="3" t="s">
        <v>90</v>
      </c>
      <c r="AP5" s="3" t="s">
        <v>91</v>
      </c>
      <c r="AQ5" s="3">
        <v>0</v>
      </c>
      <c r="AR5" s="3">
        <v>0</v>
      </c>
      <c r="AS5" s="3" t="s">
        <v>92</v>
      </c>
      <c r="AT5" s="11">
        <v>-0.03</v>
      </c>
      <c r="AU5" s="3">
        <v>0.73</v>
      </c>
      <c r="AV5" s="12">
        <f t="shared" si="2"/>
        <v>-9.7188456057648188E-3</v>
      </c>
      <c r="AW5" s="12">
        <f>(AZ5-BM5)/(SQRT((BO5^2+BB5^2)/2))</f>
        <v>0.40006580055426649</v>
      </c>
      <c r="AX5" s="12">
        <v>0.84299999999999997</v>
      </c>
      <c r="AY5" s="13"/>
      <c r="AZ5" s="3">
        <v>2.95</v>
      </c>
      <c r="BA5" s="13"/>
      <c r="BB5" s="3">
        <v>2.98</v>
      </c>
      <c r="BC5" s="10">
        <v>171</v>
      </c>
      <c r="BD5" s="3">
        <v>2.92</v>
      </c>
      <c r="BE5" s="13"/>
      <c r="BF5" s="3">
        <v>3.19</v>
      </c>
      <c r="BG5" s="10">
        <v>39</v>
      </c>
      <c r="BH5" s="13"/>
      <c r="BI5" s="10"/>
      <c r="BJ5" s="10"/>
      <c r="BK5" s="10"/>
      <c r="BL5" s="10"/>
      <c r="BM5" s="12">
        <v>1.82</v>
      </c>
      <c r="BN5" s="12"/>
      <c r="BO5" s="12">
        <v>2.66</v>
      </c>
      <c r="BP5" s="16">
        <v>85</v>
      </c>
      <c r="BQ5" s="16"/>
      <c r="BR5" s="16"/>
      <c r="BS5" s="3" t="s">
        <v>74</v>
      </c>
      <c r="BT5" s="3">
        <v>0</v>
      </c>
      <c r="BU5" s="3">
        <v>0</v>
      </c>
      <c r="BV5" s="3">
        <v>0</v>
      </c>
      <c r="BW5" s="3">
        <v>0</v>
      </c>
      <c r="BX5" s="3">
        <v>0</v>
      </c>
      <c r="BY5" s="3">
        <v>0</v>
      </c>
      <c r="BZ5" s="3">
        <v>0</v>
      </c>
      <c r="CA5" s="3">
        <v>0</v>
      </c>
      <c r="CB5" s="3">
        <v>0</v>
      </c>
      <c r="CC5" s="3">
        <v>0</v>
      </c>
      <c r="CD5" s="3">
        <v>1</v>
      </c>
      <c r="CE5" s="3">
        <v>0</v>
      </c>
      <c r="CF5" s="3">
        <v>0</v>
      </c>
      <c r="CH5" s="3">
        <v>1</v>
      </c>
      <c r="CI5" s="3">
        <v>0</v>
      </c>
      <c r="CJ5" s="5">
        <v>0</v>
      </c>
    </row>
    <row r="6" spans="1:88" ht="14.4" x14ac:dyDescent="0.35">
      <c r="A6" s="3" t="s">
        <v>78</v>
      </c>
      <c r="B6" s="3">
        <v>2</v>
      </c>
      <c r="C6" s="3" t="s">
        <v>79</v>
      </c>
      <c r="D6" s="3">
        <v>0</v>
      </c>
      <c r="E6" s="3">
        <v>2018</v>
      </c>
      <c r="F6" s="3">
        <v>5</v>
      </c>
      <c r="G6" s="3">
        <v>1</v>
      </c>
      <c r="H6" s="3">
        <v>9</v>
      </c>
      <c r="I6" s="3">
        <v>2</v>
      </c>
      <c r="J6" s="3">
        <v>14</v>
      </c>
      <c r="K6" s="3">
        <v>1</v>
      </c>
      <c r="L6" s="3">
        <v>1</v>
      </c>
      <c r="M6" s="3" t="s">
        <v>280</v>
      </c>
      <c r="N6" s="3">
        <v>6</v>
      </c>
      <c r="O6" s="3" t="s">
        <v>99</v>
      </c>
      <c r="P6" s="3" t="s">
        <v>74</v>
      </c>
      <c r="Q6" s="3">
        <v>0</v>
      </c>
      <c r="R6" s="3">
        <v>0</v>
      </c>
      <c r="S6" s="3">
        <v>0</v>
      </c>
      <c r="T6" s="3">
        <v>0</v>
      </c>
      <c r="U6" s="3" t="s">
        <v>98</v>
      </c>
      <c r="V6" s="3" t="s">
        <v>82</v>
      </c>
      <c r="W6" s="3" t="s">
        <v>83</v>
      </c>
      <c r="X6" s="3">
        <v>-1</v>
      </c>
      <c r="Y6" s="3">
        <v>0</v>
      </c>
      <c r="Z6" s="3" t="s">
        <v>84</v>
      </c>
      <c r="AA6" s="3" t="s">
        <v>85</v>
      </c>
      <c r="AB6" s="3" t="s">
        <v>94</v>
      </c>
      <c r="AC6" s="3" t="s">
        <v>86</v>
      </c>
      <c r="AD6" s="3" t="s">
        <v>87</v>
      </c>
      <c r="AE6" s="3">
        <v>0</v>
      </c>
      <c r="AF6" s="3" t="s">
        <v>88</v>
      </c>
      <c r="AG6" s="3" t="s">
        <v>88</v>
      </c>
      <c r="AH6" s="10">
        <f t="shared" si="0"/>
        <v>210</v>
      </c>
      <c r="AI6" s="10">
        <f t="shared" si="1"/>
        <v>210</v>
      </c>
      <c r="AJ6" s="10" t="s">
        <v>94</v>
      </c>
      <c r="AK6" s="10">
        <v>0</v>
      </c>
      <c r="AL6" s="3">
        <v>23.76</v>
      </c>
      <c r="AM6" s="3">
        <v>0.55000000000000004</v>
      </c>
      <c r="AN6" s="3" t="s">
        <v>89</v>
      </c>
      <c r="AO6" s="3" t="s">
        <v>90</v>
      </c>
      <c r="AP6" s="3" t="s">
        <v>91</v>
      </c>
      <c r="AQ6" s="3">
        <v>0</v>
      </c>
      <c r="AR6" s="3">
        <v>0</v>
      </c>
      <c r="AS6" s="3" t="s">
        <v>92</v>
      </c>
      <c r="AT6" s="11">
        <v>-0.03</v>
      </c>
      <c r="AU6" s="3">
        <v>0.42</v>
      </c>
      <c r="AV6" s="12">
        <f t="shared" si="2"/>
        <v>1.4883984964325069E-2</v>
      </c>
      <c r="AW6" s="12" t="s">
        <v>94</v>
      </c>
      <c r="AX6" s="12">
        <v>0.94299999999999995</v>
      </c>
      <c r="AY6" s="13"/>
      <c r="AZ6" s="3">
        <v>2.13</v>
      </c>
      <c r="BA6" s="13"/>
      <c r="BB6" s="3">
        <v>1.24</v>
      </c>
      <c r="BC6" s="10">
        <v>171</v>
      </c>
      <c r="BD6" s="3">
        <v>2.15</v>
      </c>
      <c r="BE6" s="13"/>
      <c r="BF6" s="3">
        <v>1.44</v>
      </c>
      <c r="BG6" s="10">
        <v>39</v>
      </c>
      <c r="BH6" s="13"/>
      <c r="BI6" s="10"/>
      <c r="BJ6" s="10"/>
      <c r="BK6" s="10"/>
      <c r="BL6" s="10"/>
      <c r="BM6" s="12" t="s">
        <v>94</v>
      </c>
      <c r="BN6" s="12"/>
      <c r="BO6" s="12" t="s">
        <v>94</v>
      </c>
      <c r="BP6" s="16" t="s">
        <v>94</v>
      </c>
      <c r="BQ6" s="16"/>
      <c r="BR6" s="16"/>
      <c r="BS6" s="3" t="s">
        <v>74</v>
      </c>
      <c r="BT6" s="3">
        <v>0</v>
      </c>
      <c r="BU6" s="3">
        <v>0</v>
      </c>
      <c r="BV6" s="3">
        <v>0</v>
      </c>
      <c r="BW6" s="3">
        <v>0</v>
      </c>
      <c r="BX6" s="3">
        <v>0</v>
      </c>
      <c r="BY6" s="3">
        <v>0</v>
      </c>
      <c r="BZ6" s="3">
        <v>0</v>
      </c>
      <c r="CA6" s="3">
        <v>0</v>
      </c>
      <c r="CB6" s="3">
        <v>0</v>
      </c>
      <c r="CC6" s="3">
        <v>0</v>
      </c>
      <c r="CD6" s="3">
        <v>1</v>
      </c>
      <c r="CE6" s="3">
        <v>0</v>
      </c>
      <c r="CF6" s="3">
        <v>0</v>
      </c>
      <c r="CH6" s="3">
        <v>1</v>
      </c>
      <c r="CI6" s="3">
        <v>0</v>
      </c>
      <c r="CJ6" s="5">
        <v>0</v>
      </c>
    </row>
    <row r="7" spans="1:88" ht="14.4" x14ac:dyDescent="0.35">
      <c r="A7" s="3" t="s">
        <v>78</v>
      </c>
      <c r="B7" s="3">
        <v>2</v>
      </c>
      <c r="C7" s="3" t="s">
        <v>79</v>
      </c>
      <c r="D7" s="3">
        <v>0</v>
      </c>
      <c r="E7" s="3">
        <v>2018</v>
      </c>
      <c r="F7" s="3">
        <v>6</v>
      </c>
      <c r="G7" s="3">
        <v>1</v>
      </c>
      <c r="H7" s="3">
        <v>9</v>
      </c>
      <c r="I7" s="3">
        <v>2</v>
      </c>
      <c r="J7" s="3">
        <v>15</v>
      </c>
      <c r="K7" s="3">
        <v>1</v>
      </c>
      <c r="L7" s="3">
        <v>1</v>
      </c>
      <c r="M7" s="3" t="s">
        <v>280</v>
      </c>
      <c r="N7" s="3">
        <v>6</v>
      </c>
      <c r="O7" s="3" t="s">
        <v>99</v>
      </c>
      <c r="P7" s="3" t="s">
        <v>74</v>
      </c>
      <c r="Q7" s="3">
        <v>0</v>
      </c>
      <c r="R7" s="3">
        <v>0</v>
      </c>
      <c r="S7" s="3">
        <v>0</v>
      </c>
      <c r="T7" s="3">
        <v>0</v>
      </c>
      <c r="U7" s="3" t="s">
        <v>81</v>
      </c>
      <c r="V7" s="3" t="s">
        <v>82</v>
      </c>
      <c r="W7" s="3" t="s">
        <v>83</v>
      </c>
      <c r="X7" s="3">
        <v>-1</v>
      </c>
      <c r="Y7" s="3">
        <v>0</v>
      </c>
      <c r="Z7" s="3" t="s">
        <v>84</v>
      </c>
      <c r="AA7" s="3" t="s">
        <v>85</v>
      </c>
      <c r="AB7" s="3" t="s">
        <v>94</v>
      </c>
      <c r="AC7" s="3" t="s">
        <v>86</v>
      </c>
      <c r="AD7" s="3" t="s">
        <v>87</v>
      </c>
      <c r="AE7" s="3">
        <v>0</v>
      </c>
      <c r="AF7" s="3" t="s">
        <v>88</v>
      </c>
      <c r="AG7" s="3" t="s">
        <v>88</v>
      </c>
      <c r="AH7" s="10">
        <f t="shared" si="0"/>
        <v>210</v>
      </c>
      <c r="AI7" s="10">
        <f t="shared" si="1"/>
        <v>210</v>
      </c>
      <c r="AJ7" s="10" t="s">
        <v>94</v>
      </c>
      <c r="AK7" s="10">
        <v>0</v>
      </c>
      <c r="AL7" s="3">
        <v>23.79</v>
      </c>
      <c r="AM7" s="3">
        <v>0.57999999999999996</v>
      </c>
      <c r="AN7" s="3" t="s">
        <v>89</v>
      </c>
      <c r="AO7" s="3" t="s">
        <v>90</v>
      </c>
      <c r="AP7" s="3" t="s">
        <v>91</v>
      </c>
      <c r="AQ7" s="3">
        <v>0</v>
      </c>
      <c r="AR7" s="3">
        <v>0</v>
      </c>
      <c r="AS7" s="3" t="s">
        <v>92</v>
      </c>
      <c r="AT7" s="3">
        <v>0.09</v>
      </c>
      <c r="AU7" s="3">
        <v>0.45</v>
      </c>
      <c r="AV7" s="12">
        <f t="shared" si="2"/>
        <v>0.38334158591463857</v>
      </c>
      <c r="AW7" s="12" t="s">
        <v>94</v>
      </c>
      <c r="AX7" s="12">
        <v>0.84799999999999998</v>
      </c>
      <c r="AY7" s="13"/>
      <c r="AZ7" s="3">
        <v>0.65</v>
      </c>
      <c r="BA7" s="13"/>
      <c r="BB7" s="13">
        <v>1</v>
      </c>
      <c r="BC7" s="10">
        <v>171</v>
      </c>
      <c r="BD7" s="3">
        <v>1.1499999999999999</v>
      </c>
      <c r="BE7" s="13"/>
      <c r="BF7" s="3">
        <v>1.55</v>
      </c>
      <c r="BG7" s="10">
        <v>39</v>
      </c>
      <c r="BH7" s="13"/>
      <c r="BI7" s="10"/>
      <c r="BJ7" s="10"/>
      <c r="BK7" s="10"/>
      <c r="BL7" s="10"/>
      <c r="BM7" s="12" t="s">
        <v>94</v>
      </c>
      <c r="BN7" s="12"/>
      <c r="BO7" s="12" t="s">
        <v>94</v>
      </c>
      <c r="BP7" s="16" t="s">
        <v>94</v>
      </c>
      <c r="BQ7" s="16"/>
      <c r="BR7" s="16"/>
      <c r="BS7" s="3" t="s">
        <v>74</v>
      </c>
      <c r="BT7" s="3">
        <v>0</v>
      </c>
      <c r="BU7" s="3">
        <v>0</v>
      </c>
      <c r="BV7" s="3">
        <v>0</v>
      </c>
      <c r="BW7" s="3">
        <v>0</v>
      </c>
      <c r="BX7" s="3">
        <v>0</v>
      </c>
      <c r="BY7" s="3">
        <v>0</v>
      </c>
      <c r="BZ7" s="3">
        <v>0</v>
      </c>
      <c r="CA7" s="3">
        <v>0</v>
      </c>
      <c r="CB7" s="3">
        <v>0</v>
      </c>
      <c r="CC7" s="3">
        <v>0</v>
      </c>
      <c r="CD7" s="3">
        <v>1</v>
      </c>
      <c r="CE7" s="3">
        <v>0</v>
      </c>
      <c r="CF7" s="3">
        <v>0</v>
      </c>
      <c r="CH7" s="3">
        <v>1</v>
      </c>
      <c r="CI7" s="3">
        <v>0</v>
      </c>
      <c r="CJ7" s="5">
        <v>0</v>
      </c>
    </row>
    <row r="8" spans="1:88" ht="14.4" x14ac:dyDescent="0.35">
      <c r="A8" s="3" t="s">
        <v>78</v>
      </c>
      <c r="B8" s="3">
        <v>2</v>
      </c>
      <c r="C8" s="3" t="s">
        <v>79</v>
      </c>
      <c r="D8" s="3">
        <v>0</v>
      </c>
      <c r="E8" s="3">
        <v>2018</v>
      </c>
      <c r="F8" s="3">
        <v>7</v>
      </c>
      <c r="G8" s="3">
        <v>1</v>
      </c>
      <c r="H8" s="3">
        <v>9</v>
      </c>
      <c r="I8" s="3">
        <v>3</v>
      </c>
      <c r="J8" s="3">
        <v>13</v>
      </c>
      <c r="K8" s="3">
        <v>1</v>
      </c>
      <c r="L8" s="3">
        <v>1</v>
      </c>
      <c r="M8" s="3" t="s">
        <v>280</v>
      </c>
      <c r="N8" s="3">
        <v>7</v>
      </c>
      <c r="O8" s="3" t="s">
        <v>95</v>
      </c>
      <c r="P8" s="3" t="s">
        <v>68</v>
      </c>
      <c r="Q8" s="3" t="s">
        <v>74</v>
      </c>
      <c r="R8" s="3">
        <v>0</v>
      </c>
      <c r="S8" s="3">
        <v>0</v>
      </c>
      <c r="T8" s="3">
        <v>0</v>
      </c>
      <c r="U8" s="3" t="s">
        <v>96</v>
      </c>
      <c r="V8" s="3" t="s">
        <v>97</v>
      </c>
      <c r="W8" s="3" t="s">
        <v>97</v>
      </c>
      <c r="X8" s="3">
        <v>1</v>
      </c>
      <c r="Y8" s="3">
        <v>1</v>
      </c>
      <c r="Z8" s="3" t="s">
        <v>84</v>
      </c>
      <c r="AA8" s="3" t="s">
        <v>85</v>
      </c>
      <c r="AB8" s="3" t="s">
        <v>94</v>
      </c>
      <c r="AC8" s="3" t="s">
        <v>86</v>
      </c>
      <c r="AD8" s="3" t="s">
        <v>87</v>
      </c>
      <c r="AE8" s="3">
        <v>0</v>
      </c>
      <c r="AF8" s="3" t="s">
        <v>88</v>
      </c>
      <c r="AG8" s="3" t="s">
        <v>88</v>
      </c>
      <c r="AH8" s="10">
        <f t="shared" si="0"/>
        <v>297</v>
      </c>
      <c r="AI8" s="10">
        <f t="shared" si="1"/>
        <v>212</v>
      </c>
      <c r="AJ8" s="10">
        <f>SUM(BP8,BC8)</f>
        <v>256</v>
      </c>
      <c r="AK8" s="10">
        <v>0</v>
      </c>
      <c r="AL8" s="3">
        <v>23.74</v>
      </c>
      <c r="AM8" s="3">
        <v>0.53</v>
      </c>
      <c r="AN8" s="3" t="s">
        <v>89</v>
      </c>
      <c r="AO8" s="3" t="s">
        <v>90</v>
      </c>
      <c r="AP8" s="3" t="s">
        <v>91</v>
      </c>
      <c r="AQ8" s="3">
        <v>0</v>
      </c>
      <c r="AR8" s="3">
        <v>0</v>
      </c>
      <c r="AS8" s="3" t="s">
        <v>92</v>
      </c>
      <c r="AT8" s="11">
        <v>-0.26</v>
      </c>
      <c r="AU8" s="3">
        <v>0.73</v>
      </c>
      <c r="AV8" s="12">
        <f t="shared" si="2"/>
        <v>-3.3726381227461348E-2</v>
      </c>
      <c r="AW8" s="12">
        <f>(AZ8-BM8)/(SQRT((BO8^2+BB8^2)/2))</f>
        <v>0.40006580055426649</v>
      </c>
      <c r="AX8" s="12">
        <v>0.78500000000000003</v>
      </c>
      <c r="AY8" s="13"/>
      <c r="AZ8" s="3">
        <v>2.95</v>
      </c>
      <c r="BA8" s="13"/>
      <c r="BB8" s="3">
        <v>2.98</v>
      </c>
      <c r="BC8" s="10">
        <v>171</v>
      </c>
      <c r="BD8" s="3">
        <v>2.85</v>
      </c>
      <c r="BE8" s="13"/>
      <c r="BF8" s="3">
        <v>2.95</v>
      </c>
      <c r="BG8" s="10">
        <v>41</v>
      </c>
      <c r="BH8" s="13"/>
      <c r="BI8" s="10"/>
      <c r="BJ8" s="10"/>
      <c r="BK8" s="10"/>
      <c r="BL8" s="10"/>
      <c r="BM8" s="12">
        <v>1.82</v>
      </c>
      <c r="BN8" s="12"/>
      <c r="BO8" s="12">
        <v>2.66</v>
      </c>
      <c r="BP8" s="16">
        <v>85</v>
      </c>
      <c r="BQ8" s="16"/>
      <c r="BR8" s="16"/>
      <c r="BS8" s="3" t="s">
        <v>68</v>
      </c>
      <c r="BT8" s="3" t="s">
        <v>74</v>
      </c>
      <c r="BU8" s="3">
        <v>0</v>
      </c>
      <c r="BV8" s="3">
        <v>0</v>
      </c>
      <c r="BW8" s="3">
        <v>0</v>
      </c>
      <c r="BX8" s="3">
        <v>1</v>
      </c>
      <c r="BY8" s="3">
        <v>0</v>
      </c>
      <c r="BZ8" s="3">
        <v>0</v>
      </c>
      <c r="CA8" s="3">
        <v>0</v>
      </c>
      <c r="CB8" s="3">
        <v>0</v>
      </c>
      <c r="CC8" s="3">
        <v>0</v>
      </c>
      <c r="CD8" s="3">
        <v>1</v>
      </c>
      <c r="CE8" s="3">
        <v>0</v>
      </c>
      <c r="CF8" s="3">
        <v>0</v>
      </c>
      <c r="CH8" s="3">
        <v>1</v>
      </c>
      <c r="CI8" s="3">
        <v>0</v>
      </c>
      <c r="CJ8" s="5">
        <v>0</v>
      </c>
    </row>
    <row r="9" spans="1:88" s="2" customFormat="1" ht="14.4" x14ac:dyDescent="0.35">
      <c r="A9" s="3" t="s">
        <v>78</v>
      </c>
      <c r="B9" s="3">
        <v>2</v>
      </c>
      <c r="C9" s="3" t="s">
        <v>79</v>
      </c>
      <c r="D9" s="3">
        <v>0</v>
      </c>
      <c r="E9" s="3">
        <v>2018</v>
      </c>
      <c r="F9" s="3">
        <v>8</v>
      </c>
      <c r="G9" s="3">
        <v>1</v>
      </c>
      <c r="H9" s="3">
        <v>9</v>
      </c>
      <c r="I9" s="3">
        <v>3</v>
      </c>
      <c r="J9" s="3">
        <v>14</v>
      </c>
      <c r="K9" s="3">
        <v>1</v>
      </c>
      <c r="L9" s="3">
        <v>1</v>
      </c>
      <c r="M9" s="3" t="s">
        <v>280</v>
      </c>
      <c r="N9" s="3">
        <v>7</v>
      </c>
      <c r="O9" s="3" t="s">
        <v>95</v>
      </c>
      <c r="P9" s="3" t="s">
        <v>68</v>
      </c>
      <c r="Q9" s="3" t="s">
        <v>74</v>
      </c>
      <c r="R9" s="3">
        <v>0</v>
      </c>
      <c r="S9" s="3">
        <v>0</v>
      </c>
      <c r="T9" s="3">
        <v>0</v>
      </c>
      <c r="U9" s="3" t="s">
        <v>98</v>
      </c>
      <c r="V9" s="3" t="s">
        <v>82</v>
      </c>
      <c r="W9" s="3" t="s">
        <v>83</v>
      </c>
      <c r="X9" s="3">
        <v>-1</v>
      </c>
      <c r="Y9" s="3">
        <v>0</v>
      </c>
      <c r="Z9" s="3" t="s">
        <v>84</v>
      </c>
      <c r="AA9" s="3" t="s">
        <v>85</v>
      </c>
      <c r="AB9" s="3" t="s">
        <v>94</v>
      </c>
      <c r="AC9" s="3" t="s">
        <v>86</v>
      </c>
      <c r="AD9" s="3" t="s">
        <v>87</v>
      </c>
      <c r="AE9" s="3">
        <v>0</v>
      </c>
      <c r="AF9" s="3" t="s">
        <v>88</v>
      </c>
      <c r="AG9" s="3" t="s">
        <v>88</v>
      </c>
      <c r="AH9" s="10">
        <f t="shared" si="0"/>
        <v>212</v>
      </c>
      <c r="AI9" s="10">
        <f t="shared" si="1"/>
        <v>212</v>
      </c>
      <c r="AJ9" s="10" t="s">
        <v>94</v>
      </c>
      <c r="AK9" s="10">
        <v>0</v>
      </c>
      <c r="AL9" s="3">
        <v>23.77</v>
      </c>
      <c r="AM9" s="3">
        <v>0.56000000000000005</v>
      </c>
      <c r="AN9" s="3" t="s">
        <v>89</v>
      </c>
      <c r="AO9" s="3" t="s">
        <v>90</v>
      </c>
      <c r="AP9" s="3" t="s">
        <v>91</v>
      </c>
      <c r="AQ9" s="3">
        <v>0</v>
      </c>
      <c r="AR9" s="3">
        <v>0</v>
      </c>
      <c r="AS9" s="3" t="s">
        <v>92</v>
      </c>
      <c r="AT9" s="11">
        <v>-7.0000000000000007E-2</v>
      </c>
      <c r="AU9" s="3">
        <v>0.33</v>
      </c>
      <c r="AV9" s="12">
        <f t="shared" si="2"/>
        <v>3.3314830232638509E-2</v>
      </c>
      <c r="AW9" s="12" t="s">
        <v>94</v>
      </c>
      <c r="AX9" s="12">
        <v>0.83599999999999997</v>
      </c>
      <c r="AY9" s="13"/>
      <c r="AZ9" s="3">
        <v>2.13</v>
      </c>
      <c r="BA9" s="13"/>
      <c r="BB9" s="3">
        <v>1.24</v>
      </c>
      <c r="BC9" s="10">
        <v>171</v>
      </c>
      <c r="BD9" s="3">
        <v>2.17</v>
      </c>
      <c r="BE9" s="13"/>
      <c r="BF9" s="3">
        <v>1.1599999999999999</v>
      </c>
      <c r="BG9" s="10">
        <v>41</v>
      </c>
      <c r="BH9" s="13"/>
      <c r="BI9" s="10"/>
      <c r="BJ9" s="10"/>
      <c r="BK9" s="10"/>
      <c r="BL9" s="10"/>
      <c r="BM9" s="12" t="s">
        <v>94</v>
      </c>
      <c r="BN9" s="12"/>
      <c r="BO9" s="12" t="s">
        <v>94</v>
      </c>
      <c r="BP9" s="16" t="s">
        <v>94</v>
      </c>
      <c r="BQ9" s="16"/>
      <c r="BR9" s="16"/>
      <c r="BS9" s="3" t="s">
        <v>68</v>
      </c>
      <c r="BT9" s="3" t="s">
        <v>74</v>
      </c>
      <c r="BU9" s="3">
        <v>0</v>
      </c>
      <c r="BV9" s="3">
        <v>0</v>
      </c>
      <c r="BW9" s="3">
        <v>0</v>
      </c>
      <c r="BX9" s="3">
        <v>1</v>
      </c>
      <c r="BY9" s="3">
        <v>0</v>
      </c>
      <c r="BZ9" s="3">
        <v>0</v>
      </c>
      <c r="CA9" s="3">
        <v>0</v>
      </c>
      <c r="CB9" s="3">
        <v>0</v>
      </c>
      <c r="CC9" s="3">
        <v>0</v>
      </c>
      <c r="CD9" s="3">
        <v>1</v>
      </c>
      <c r="CE9" s="3">
        <v>0</v>
      </c>
      <c r="CF9" s="3">
        <v>0</v>
      </c>
      <c r="CG9"/>
      <c r="CH9" s="3">
        <v>1</v>
      </c>
      <c r="CI9" s="3">
        <v>0</v>
      </c>
      <c r="CJ9" s="5">
        <v>0</v>
      </c>
    </row>
    <row r="10" spans="1:88" s="2" customFormat="1" ht="14.4" x14ac:dyDescent="0.35">
      <c r="A10" s="3" t="s">
        <v>78</v>
      </c>
      <c r="B10" s="3">
        <v>2</v>
      </c>
      <c r="C10" s="3" t="s">
        <v>79</v>
      </c>
      <c r="D10" s="3">
        <v>0</v>
      </c>
      <c r="E10" s="3">
        <v>2018</v>
      </c>
      <c r="F10" s="3">
        <v>9</v>
      </c>
      <c r="G10" s="3">
        <v>1</v>
      </c>
      <c r="H10" s="3">
        <v>9</v>
      </c>
      <c r="I10" s="3">
        <v>3</v>
      </c>
      <c r="J10" s="3">
        <v>15</v>
      </c>
      <c r="K10" s="3">
        <v>1</v>
      </c>
      <c r="L10" s="3">
        <v>1</v>
      </c>
      <c r="M10" s="3" t="s">
        <v>280</v>
      </c>
      <c r="N10" s="3">
        <v>7</v>
      </c>
      <c r="O10" s="3" t="s">
        <v>95</v>
      </c>
      <c r="P10" s="3" t="s">
        <v>68</v>
      </c>
      <c r="Q10" s="3" t="s">
        <v>74</v>
      </c>
      <c r="R10" s="3">
        <v>0</v>
      </c>
      <c r="S10" s="3">
        <v>0</v>
      </c>
      <c r="T10" s="3">
        <v>0</v>
      </c>
      <c r="U10" s="3" t="s">
        <v>81</v>
      </c>
      <c r="V10" s="3" t="s">
        <v>82</v>
      </c>
      <c r="W10" s="3" t="s">
        <v>83</v>
      </c>
      <c r="X10" s="3">
        <v>-1</v>
      </c>
      <c r="Y10" s="3">
        <v>0</v>
      </c>
      <c r="Z10" s="3" t="s">
        <v>84</v>
      </c>
      <c r="AA10" s="3" t="s">
        <v>85</v>
      </c>
      <c r="AB10" s="3" t="s">
        <v>94</v>
      </c>
      <c r="AC10" s="3" t="s">
        <v>86</v>
      </c>
      <c r="AD10" s="3" t="s">
        <v>87</v>
      </c>
      <c r="AE10" s="3">
        <v>0</v>
      </c>
      <c r="AF10" s="3" t="s">
        <v>88</v>
      </c>
      <c r="AG10" s="3" t="s">
        <v>88</v>
      </c>
      <c r="AH10" s="10">
        <f t="shared" si="0"/>
        <v>212</v>
      </c>
      <c r="AI10" s="10">
        <f t="shared" si="1"/>
        <v>212</v>
      </c>
      <c r="AJ10" s="10" t="s">
        <v>94</v>
      </c>
      <c r="AK10" s="10">
        <v>0</v>
      </c>
      <c r="AL10" s="3">
        <v>23.8</v>
      </c>
      <c r="AM10" s="3">
        <v>0.59</v>
      </c>
      <c r="AN10" s="3" t="s">
        <v>89</v>
      </c>
      <c r="AO10" s="3" t="s">
        <v>90</v>
      </c>
      <c r="AP10" s="3" t="s">
        <v>91</v>
      </c>
      <c r="AQ10" s="3">
        <v>0</v>
      </c>
      <c r="AR10" s="3">
        <v>0</v>
      </c>
      <c r="AS10" s="3" t="s">
        <v>92</v>
      </c>
      <c r="AT10" s="11">
        <v>-0.56000000000000005</v>
      </c>
      <c r="AU10" s="3">
        <v>0.47</v>
      </c>
      <c r="AV10" s="12">
        <f t="shared" si="2"/>
        <v>9.0848611486720993E-2</v>
      </c>
      <c r="AW10" s="12" t="s">
        <v>94</v>
      </c>
      <c r="AX10" s="12">
        <v>0.23400000000000001</v>
      </c>
      <c r="AY10" s="13"/>
      <c r="AZ10" s="3">
        <v>0.65</v>
      </c>
      <c r="BA10" s="13"/>
      <c r="BB10" s="13">
        <v>1</v>
      </c>
      <c r="BC10" s="10">
        <v>171</v>
      </c>
      <c r="BD10" s="3">
        <v>0.76</v>
      </c>
      <c r="BE10" s="13"/>
      <c r="BF10" s="3">
        <v>1.39</v>
      </c>
      <c r="BG10" s="10">
        <v>41</v>
      </c>
      <c r="BH10" s="13"/>
      <c r="BI10" s="10"/>
      <c r="BJ10" s="10"/>
      <c r="BK10" s="10"/>
      <c r="BL10" s="10"/>
      <c r="BM10" s="12" t="s">
        <v>94</v>
      </c>
      <c r="BN10" s="12"/>
      <c r="BO10" s="12" t="s">
        <v>94</v>
      </c>
      <c r="BP10" s="16" t="s">
        <v>94</v>
      </c>
      <c r="BQ10" s="16"/>
      <c r="BR10" s="16"/>
      <c r="BS10" s="3" t="s">
        <v>68</v>
      </c>
      <c r="BT10" s="3" t="s">
        <v>74</v>
      </c>
      <c r="BU10" s="3">
        <v>0</v>
      </c>
      <c r="BV10" s="3">
        <v>0</v>
      </c>
      <c r="BW10" s="3">
        <v>0</v>
      </c>
      <c r="BX10" s="3">
        <v>1</v>
      </c>
      <c r="BY10" s="3">
        <v>0</v>
      </c>
      <c r="BZ10" s="3">
        <v>0</v>
      </c>
      <c r="CA10" s="3">
        <v>0</v>
      </c>
      <c r="CB10" s="3">
        <v>0</v>
      </c>
      <c r="CC10" s="3">
        <v>0</v>
      </c>
      <c r="CD10" s="3">
        <v>1</v>
      </c>
      <c r="CE10" s="3">
        <v>0</v>
      </c>
      <c r="CF10" s="3">
        <v>0</v>
      </c>
      <c r="CG10"/>
      <c r="CH10" s="3">
        <v>1</v>
      </c>
      <c r="CI10" s="3">
        <v>0</v>
      </c>
      <c r="CJ10" s="5">
        <v>0</v>
      </c>
    </row>
    <row r="11" spans="1:88" s="6" customFormat="1" x14ac:dyDescent="0.35">
      <c r="A11" s="3" t="s">
        <v>100</v>
      </c>
      <c r="B11" s="3">
        <v>3</v>
      </c>
      <c r="C11" s="3" t="s">
        <v>101</v>
      </c>
      <c r="D11" s="3">
        <v>0</v>
      </c>
      <c r="E11" s="3">
        <v>2019</v>
      </c>
      <c r="F11" s="3">
        <v>10</v>
      </c>
      <c r="G11" s="3">
        <v>1</v>
      </c>
      <c r="H11" s="3">
        <v>18</v>
      </c>
      <c r="I11" s="3">
        <v>4</v>
      </c>
      <c r="J11" s="3">
        <v>31</v>
      </c>
      <c r="K11" s="3">
        <v>2</v>
      </c>
      <c r="L11" s="3">
        <v>1</v>
      </c>
      <c r="M11" s="3" t="s">
        <v>280</v>
      </c>
      <c r="N11" s="3">
        <v>18</v>
      </c>
      <c r="O11" s="3" t="s">
        <v>102</v>
      </c>
      <c r="P11" s="3" t="s">
        <v>74</v>
      </c>
      <c r="Q11" s="3">
        <v>0</v>
      </c>
      <c r="R11" s="3">
        <v>0</v>
      </c>
      <c r="S11" s="3">
        <v>0</v>
      </c>
      <c r="T11" s="3">
        <v>0</v>
      </c>
      <c r="U11" s="3" t="s">
        <v>103</v>
      </c>
      <c r="V11" s="3" t="s">
        <v>97</v>
      </c>
      <c r="W11" s="3" t="s">
        <v>97</v>
      </c>
      <c r="X11" s="3">
        <v>1</v>
      </c>
      <c r="Y11" s="3">
        <v>1</v>
      </c>
      <c r="Z11" s="3" t="s">
        <v>104</v>
      </c>
      <c r="AA11" s="3">
        <v>0</v>
      </c>
      <c r="AB11" s="3" t="s">
        <v>94</v>
      </c>
      <c r="AC11" s="3" t="s">
        <v>86</v>
      </c>
      <c r="AD11" s="3" t="s">
        <v>105</v>
      </c>
      <c r="AE11" s="3">
        <v>0</v>
      </c>
      <c r="AF11" s="3" t="s">
        <v>106</v>
      </c>
      <c r="AG11" s="3" t="s">
        <v>107</v>
      </c>
      <c r="AH11" s="10">
        <f t="shared" ref="AH11:AH17" si="3">SUM(BJ11,BL11,BR11)</f>
        <v>821</v>
      </c>
      <c r="AI11" s="10">
        <f t="shared" ref="AI11:AI17" si="4">SUM(BJ11,BL11)</f>
        <v>589</v>
      </c>
      <c r="AJ11" s="10">
        <f>SUM(BJ11,BR11)</f>
        <v>520</v>
      </c>
      <c r="AK11" s="10">
        <v>0</v>
      </c>
      <c r="AL11" s="3" t="s">
        <v>94</v>
      </c>
      <c r="AM11" s="3" t="s">
        <v>94</v>
      </c>
      <c r="AN11" s="3" t="s">
        <v>108</v>
      </c>
      <c r="AO11" s="3" t="s">
        <v>109</v>
      </c>
      <c r="AP11" s="3" t="s">
        <v>110</v>
      </c>
      <c r="AQ11" s="3">
        <v>0</v>
      </c>
      <c r="AR11" s="3">
        <v>0</v>
      </c>
      <c r="AS11" s="3" t="s">
        <v>111</v>
      </c>
      <c r="AT11" s="13" t="s">
        <v>94</v>
      </c>
      <c r="AU11" s="13" t="s">
        <v>94</v>
      </c>
      <c r="AV11" s="12">
        <f t="shared" ref="AV11:AV17" si="5">LN((BK11/(BL11-BK11))/(BI11/(BJ11-BI11)))*(SQRT(3)/PI())</f>
        <v>7.0743311448478617E-3</v>
      </c>
      <c r="AW11" s="12">
        <f>LN((BI11/(BJ11-BI11))/(BQ11/(BR11-BQ11)))*(SQRT(3)/PI())</f>
        <v>0.3435173063902916</v>
      </c>
      <c r="AX11" s="12">
        <v>0.94</v>
      </c>
      <c r="AY11" s="13"/>
      <c r="AZ11" s="13"/>
      <c r="BA11" s="13"/>
      <c r="BB11" s="13"/>
      <c r="BC11" s="10"/>
      <c r="BD11" s="13"/>
      <c r="BE11" s="13"/>
      <c r="BF11" s="13"/>
      <c r="BG11" s="10"/>
      <c r="BH11" s="13"/>
      <c r="BI11" s="10">
        <v>156</v>
      </c>
      <c r="BJ11" s="16">
        <f>(156+132)</f>
        <v>288</v>
      </c>
      <c r="BK11" s="10">
        <v>164</v>
      </c>
      <c r="BL11" s="10">
        <f>(164+137)</f>
        <v>301</v>
      </c>
      <c r="BM11" s="12"/>
      <c r="BN11" s="12"/>
      <c r="BO11" s="12"/>
      <c r="BP11" s="16"/>
      <c r="BQ11" s="16">
        <v>90</v>
      </c>
      <c r="BR11" s="16">
        <f>90+142</f>
        <v>232</v>
      </c>
      <c r="BS11" s="3" t="s">
        <v>74</v>
      </c>
      <c r="BT11" s="3">
        <v>0</v>
      </c>
      <c r="BU11" s="3">
        <v>0</v>
      </c>
      <c r="BV11" s="3">
        <v>0</v>
      </c>
      <c r="BW11" s="3">
        <v>0</v>
      </c>
      <c r="BX11" s="3">
        <v>0</v>
      </c>
      <c r="BY11" s="3">
        <v>0</v>
      </c>
      <c r="BZ11" s="3">
        <v>0</v>
      </c>
      <c r="CA11" s="3">
        <v>0</v>
      </c>
      <c r="CB11" s="3">
        <v>0</v>
      </c>
      <c r="CC11" s="3">
        <v>0</v>
      </c>
      <c r="CD11" s="3">
        <v>1</v>
      </c>
      <c r="CE11" s="3">
        <v>0</v>
      </c>
      <c r="CF11" s="3">
        <v>0</v>
      </c>
      <c r="CG11"/>
      <c r="CH11" s="3">
        <v>1</v>
      </c>
      <c r="CI11" s="3">
        <v>0</v>
      </c>
      <c r="CJ11" s="5">
        <v>0</v>
      </c>
    </row>
    <row r="12" spans="1:88" x14ac:dyDescent="0.35">
      <c r="A12" s="3" t="s">
        <v>100</v>
      </c>
      <c r="B12" s="3">
        <v>3</v>
      </c>
      <c r="C12" s="3" t="s">
        <v>101</v>
      </c>
      <c r="D12" s="3">
        <v>0</v>
      </c>
      <c r="E12" s="3">
        <v>2019</v>
      </c>
      <c r="F12" s="3">
        <v>11</v>
      </c>
      <c r="G12" s="3">
        <v>1</v>
      </c>
      <c r="H12" s="3">
        <v>18</v>
      </c>
      <c r="I12" s="3">
        <v>5</v>
      </c>
      <c r="J12" s="3">
        <v>31</v>
      </c>
      <c r="K12" s="3">
        <v>2</v>
      </c>
      <c r="L12" s="3">
        <v>1</v>
      </c>
      <c r="M12" s="3" t="s">
        <v>280</v>
      </c>
      <c r="N12" s="3">
        <v>18</v>
      </c>
      <c r="O12" s="3" t="s">
        <v>102</v>
      </c>
      <c r="P12" s="3" t="s">
        <v>74</v>
      </c>
      <c r="Q12" s="3">
        <v>0</v>
      </c>
      <c r="R12" s="3">
        <v>0</v>
      </c>
      <c r="S12" s="3">
        <v>0</v>
      </c>
      <c r="T12" s="3">
        <v>0</v>
      </c>
      <c r="U12" s="3" t="s">
        <v>103</v>
      </c>
      <c r="V12" s="3" t="s">
        <v>97</v>
      </c>
      <c r="W12" s="3" t="s">
        <v>97</v>
      </c>
      <c r="X12" s="3">
        <v>1</v>
      </c>
      <c r="Y12" s="3">
        <v>1</v>
      </c>
      <c r="Z12" s="3" t="s">
        <v>112</v>
      </c>
      <c r="AA12" s="3">
        <v>0</v>
      </c>
      <c r="AB12" s="3" t="s">
        <v>94</v>
      </c>
      <c r="AC12" s="3" t="s">
        <v>113</v>
      </c>
      <c r="AD12" s="3" t="s">
        <v>114</v>
      </c>
      <c r="AE12" s="3">
        <v>0</v>
      </c>
      <c r="AF12" s="3" t="s">
        <v>106</v>
      </c>
      <c r="AG12" s="3" t="s">
        <v>107</v>
      </c>
      <c r="AH12" s="10">
        <f t="shared" si="3"/>
        <v>1322</v>
      </c>
      <c r="AI12" s="10">
        <f t="shared" si="4"/>
        <v>1090</v>
      </c>
      <c r="AJ12" s="10">
        <f>SUM(BJ12,BR12)</f>
        <v>775</v>
      </c>
      <c r="AK12" s="10">
        <v>0</v>
      </c>
      <c r="AL12" s="3" t="s">
        <v>94</v>
      </c>
      <c r="AM12" s="3" t="s">
        <v>94</v>
      </c>
      <c r="AN12" s="3" t="s">
        <v>108</v>
      </c>
      <c r="AO12" s="3" t="s">
        <v>109</v>
      </c>
      <c r="AP12" s="3" t="s">
        <v>110</v>
      </c>
      <c r="AQ12" s="3">
        <v>0</v>
      </c>
      <c r="AR12" s="3">
        <v>0</v>
      </c>
      <c r="AS12" s="3" t="s">
        <v>111</v>
      </c>
      <c r="AT12" s="13" t="s">
        <v>94</v>
      </c>
      <c r="AU12" s="13" t="s">
        <v>94</v>
      </c>
      <c r="AV12" s="12">
        <f t="shared" si="5"/>
        <v>2.7776856119037317E-2</v>
      </c>
      <c r="AW12" s="12">
        <f>LN((BI12/(BJ12-BI12))/(BQ12/(BR12-BQ12)))*(SQRT(3)/PI())</f>
        <v>0.44214833440816736</v>
      </c>
      <c r="AX12" s="12">
        <v>0.16</v>
      </c>
      <c r="AY12" s="13"/>
      <c r="AZ12" s="13"/>
      <c r="BA12" s="13"/>
      <c r="BB12" s="13"/>
      <c r="BC12" s="10"/>
      <c r="BD12" s="13"/>
      <c r="BE12" s="13"/>
      <c r="BF12" s="13"/>
      <c r="BG12" s="10"/>
      <c r="BH12" s="13"/>
      <c r="BI12" s="10">
        <v>318</v>
      </c>
      <c r="BJ12" s="16">
        <f>(318+225)</f>
        <v>543</v>
      </c>
      <c r="BK12" s="10">
        <v>327</v>
      </c>
      <c r="BL12" s="16">
        <f>(327+220)</f>
        <v>547</v>
      </c>
      <c r="BM12" s="12"/>
      <c r="BN12" s="12"/>
      <c r="BO12" s="12"/>
      <c r="BP12" s="16"/>
      <c r="BQ12" s="16">
        <v>90</v>
      </c>
      <c r="BR12" s="16">
        <f>90+142</f>
        <v>232</v>
      </c>
      <c r="BS12" s="3" t="s">
        <v>74</v>
      </c>
      <c r="BT12" s="3">
        <v>0</v>
      </c>
      <c r="BU12" s="3">
        <v>0</v>
      </c>
      <c r="BV12" s="3">
        <v>0</v>
      </c>
      <c r="BW12" s="3">
        <v>0</v>
      </c>
      <c r="BX12" s="3">
        <v>0</v>
      </c>
      <c r="BY12" s="3">
        <v>0</v>
      </c>
      <c r="BZ12" s="3">
        <v>0</v>
      </c>
      <c r="CA12" s="3">
        <v>0</v>
      </c>
      <c r="CB12" s="3">
        <v>0</v>
      </c>
      <c r="CC12" s="3">
        <v>0</v>
      </c>
      <c r="CD12" s="3">
        <v>1</v>
      </c>
      <c r="CE12" s="3">
        <v>0</v>
      </c>
      <c r="CF12" s="3">
        <v>0</v>
      </c>
      <c r="CH12" s="3">
        <v>1</v>
      </c>
      <c r="CI12" s="3">
        <v>0</v>
      </c>
      <c r="CJ12" s="5">
        <v>0</v>
      </c>
    </row>
    <row r="13" spans="1:88" s="2" customFormat="1" ht="14.4" x14ac:dyDescent="0.35">
      <c r="A13" s="3" t="s">
        <v>117</v>
      </c>
      <c r="B13" s="3">
        <v>2</v>
      </c>
      <c r="C13" s="3" t="s">
        <v>118</v>
      </c>
      <c r="D13" s="3">
        <v>1</v>
      </c>
      <c r="E13" s="3">
        <v>2020</v>
      </c>
      <c r="F13" s="3">
        <v>12</v>
      </c>
      <c r="G13" s="3">
        <v>1</v>
      </c>
      <c r="H13" s="3">
        <v>19</v>
      </c>
      <c r="I13" s="3">
        <v>6</v>
      </c>
      <c r="J13" s="3">
        <v>32</v>
      </c>
      <c r="K13" s="3">
        <v>3</v>
      </c>
      <c r="L13" s="3">
        <v>1</v>
      </c>
      <c r="M13" s="3" t="s">
        <v>280</v>
      </c>
      <c r="N13" s="3">
        <v>19</v>
      </c>
      <c r="O13" s="3" t="s">
        <v>119</v>
      </c>
      <c r="P13" s="3" t="s">
        <v>72</v>
      </c>
      <c r="Q13" s="3" t="s">
        <v>73</v>
      </c>
      <c r="R13" s="3" t="s">
        <v>68</v>
      </c>
      <c r="S13" s="3">
        <v>0</v>
      </c>
      <c r="T13" s="3">
        <v>0</v>
      </c>
      <c r="U13" s="3" t="s">
        <v>120</v>
      </c>
      <c r="V13" s="3" t="s">
        <v>97</v>
      </c>
      <c r="W13" s="3" t="s">
        <v>97</v>
      </c>
      <c r="X13" s="3">
        <v>1</v>
      </c>
      <c r="Y13" s="3">
        <v>0</v>
      </c>
      <c r="Z13" s="3" t="s">
        <v>84</v>
      </c>
      <c r="AA13" s="3" t="s">
        <v>85</v>
      </c>
      <c r="AB13" s="3" t="s">
        <v>94</v>
      </c>
      <c r="AC13" s="3" t="s">
        <v>86</v>
      </c>
      <c r="AD13" s="3" t="s">
        <v>87</v>
      </c>
      <c r="AE13" s="3" t="s">
        <v>126</v>
      </c>
      <c r="AF13" s="3" t="s">
        <v>121</v>
      </c>
      <c r="AG13" s="3" t="s">
        <v>121</v>
      </c>
      <c r="AH13" s="10">
        <f t="shared" si="3"/>
        <v>187</v>
      </c>
      <c r="AI13" s="10">
        <f t="shared" si="4"/>
        <v>187</v>
      </c>
      <c r="AJ13" s="10" t="s">
        <v>94</v>
      </c>
      <c r="AK13" s="10">
        <v>0</v>
      </c>
      <c r="AL13" s="3" t="s">
        <v>122</v>
      </c>
      <c r="AM13" s="3" t="s">
        <v>123</v>
      </c>
      <c r="AN13" s="3" t="s">
        <v>108</v>
      </c>
      <c r="AO13" s="3" t="s">
        <v>124</v>
      </c>
      <c r="AP13" s="3" t="s">
        <v>125</v>
      </c>
      <c r="AQ13" s="3">
        <v>0</v>
      </c>
      <c r="AR13" s="3">
        <v>0</v>
      </c>
      <c r="AS13" s="3" t="s">
        <v>111</v>
      </c>
      <c r="AT13" s="13" t="s">
        <v>94</v>
      </c>
      <c r="AU13" s="13" t="s">
        <v>94</v>
      </c>
      <c r="AV13" s="12">
        <f t="shared" si="5"/>
        <v>1.4314275478297942E-2</v>
      </c>
      <c r="AW13" s="12" t="s">
        <v>94</v>
      </c>
      <c r="AX13" s="12">
        <v>0.88800000000000001</v>
      </c>
      <c r="AY13" s="13"/>
      <c r="AZ13" s="13"/>
      <c r="BA13" s="13"/>
      <c r="BB13" s="13"/>
      <c r="BC13" s="10"/>
      <c r="BD13" s="13"/>
      <c r="BE13" s="13"/>
      <c r="BF13" s="13"/>
      <c r="BG13" s="10"/>
      <c r="BH13" s="13"/>
      <c r="BI13" s="10">
        <v>41</v>
      </c>
      <c r="BJ13" s="10">
        <v>99</v>
      </c>
      <c r="BK13" s="10">
        <v>37</v>
      </c>
      <c r="BL13" s="10">
        <v>88</v>
      </c>
      <c r="BM13" s="12" t="s">
        <v>94</v>
      </c>
      <c r="BN13" s="12" t="s">
        <v>94</v>
      </c>
      <c r="BO13" s="12" t="s">
        <v>94</v>
      </c>
      <c r="BP13" s="16" t="s">
        <v>94</v>
      </c>
      <c r="BQ13" s="16" t="s">
        <v>94</v>
      </c>
      <c r="BR13" s="16" t="s">
        <v>94</v>
      </c>
      <c r="BS13" s="3" t="s">
        <v>72</v>
      </c>
      <c r="BT13" s="3" t="s">
        <v>73</v>
      </c>
      <c r="BU13" s="3" t="s">
        <v>68</v>
      </c>
      <c r="BV13" s="3">
        <v>0</v>
      </c>
      <c r="BW13" s="3">
        <v>0</v>
      </c>
      <c r="BX13" s="3">
        <v>1</v>
      </c>
      <c r="BY13" s="3">
        <v>0</v>
      </c>
      <c r="BZ13" s="3">
        <v>0</v>
      </c>
      <c r="CA13" s="3">
        <v>0</v>
      </c>
      <c r="CB13" s="3">
        <v>1</v>
      </c>
      <c r="CC13" s="3">
        <v>1</v>
      </c>
      <c r="CD13" s="3">
        <v>0</v>
      </c>
      <c r="CE13" s="3">
        <v>0</v>
      </c>
      <c r="CF13" s="3">
        <v>0</v>
      </c>
      <c r="CG13"/>
      <c r="CH13" s="3">
        <v>1</v>
      </c>
      <c r="CI13" s="3">
        <v>0</v>
      </c>
      <c r="CJ13" s="5">
        <v>0</v>
      </c>
    </row>
    <row r="14" spans="1:88" ht="14.4" x14ac:dyDescent="0.35">
      <c r="A14" s="3" t="s">
        <v>117</v>
      </c>
      <c r="B14" s="3">
        <v>2</v>
      </c>
      <c r="C14" s="3" t="s">
        <v>118</v>
      </c>
      <c r="D14" s="3">
        <v>1</v>
      </c>
      <c r="E14" s="3">
        <v>2020</v>
      </c>
      <c r="F14" s="3">
        <v>13</v>
      </c>
      <c r="G14" s="3">
        <v>1</v>
      </c>
      <c r="H14" s="3">
        <v>19</v>
      </c>
      <c r="I14" s="3">
        <v>7</v>
      </c>
      <c r="J14" s="3">
        <v>32</v>
      </c>
      <c r="K14" s="3">
        <v>3</v>
      </c>
      <c r="L14" s="3">
        <v>1</v>
      </c>
      <c r="M14" s="3" t="s">
        <v>280</v>
      </c>
      <c r="N14" s="3">
        <v>19</v>
      </c>
      <c r="O14" s="3" t="s">
        <v>119</v>
      </c>
      <c r="P14" s="3" t="s">
        <v>72</v>
      </c>
      <c r="Q14" s="3" t="s">
        <v>73</v>
      </c>
      <c r="R14" s="3" t="s">
        <v>68</v>
      </c>
      <c r="S14" s="3">
        <v>0</v>
      </c>
      <c r="T14" s="3">
        <v>0</v>
      </c>
      <c r="U14" s="3" t="s">
        <v>287</v>
      </c>
      <c r="V14" s="3" t="s">
        <v>97</v>
      </c>
      <c r="W14" s="3" t="s">
        <v>97</v>
      </c>
      <c r="X14" s="3">
        <v>1</v>
      </c>
      <c r="Y14" s="3">
        <v>0</v>
      </c>
      <c r="Z14" s="3" t="s">
        <v>84</v>
      </c>
      <c r="AA14" s="3" t="s">
        <v>127</v>
      </c>
      <c r="AB14" s="3">
        <v>0</v>
      </c>
      <c r="AC14" s="3" t="s">
        <v>86</v>
      </c>
      <c r="AD14" s="3" t="s">
        <v>87</v>
      </c>
      <c r="AE14" s="3" t="s">
        <v>126</v>
      </c>
      <c r="AF14" s="3" t="s">
        <v>121</v>
      </c>
      <c r="AG14" s="3" t="s">
        <v>121</v>
      </c>
      <c r="AH14" s="10">
        <f t="shared" si="3"/>
        <v>181</v>
      </c>
      <c r="AI14" s="10">
        <f t="shared" si="4"/>
        <v>181</v>
      </c>
      <c r="AJ14" s="10" t="s">
        <v>94</v>
      </c>
      <c r="AK14" s="10">
        <v>0</v>
      </c>
      <c r="AL14" s="3" t="s">
        <v>122</v>
      </c>
      <c r="AM14" s="3" t="s">
        <v>123</v>
      </c>
      <c r="AN14" s="3" t="s">
        <v>108</v>
      </c>
      <c r="AO14" s="3" t="s">
        <v>124</v>
      </c>
      <c r="AP14" s="3" t="s">
        <v>125</v>
      </c>
      <c r="AQ14" s="3">
        <v>0</v>
      </c>
      <c r="AR14" s="3">
        <v>0</v>
      </c>
      <c r="AS14" s="3" t="s">
        <v>111</v>
      </c>
      <c r="AT14" s="13" t="s">
        <v>94</v>
      </c>
      <c r="AU14" s="13" t="s">
        <v>94</v>
      </c>
      <c r="AV14" s="12">
        <f t="shared" si="5"/>
        <v>4.7044503647552492E-2</v>
      </c>
      <c r="AW14" s="12" t="s">
        <v>94</v>
      </c>
      <c r="AX14" s="12">
        <v>0.89400000000000002</v>
      </c>
      <c r="AY14" s="13"/>
      <c r="AZ14" s="13"/>
      <c r="BA14" s="13"/>
      <c r="BB14" s="13"/>
      <c r="BC14" s="10"/>
      <c r="BD14" s="13"/>
      <c r="BE14" s="13"/>
      <c r="BF14" s="13"/>
      <c r="BG14" s="10"/>
      <c r="BH14" s="13"/>
      <c r="BI14" s="10">
        <v>7</v>
      </c>
      <c r="BJ14" s="10">
        <v>88</v>
      </c>
      <c r="BK14" s="10">
        <v>8</v>
      </c>
      <c r="BL14" s="10">
        <v>93</v>
      </c>
      <c r="BM14" s="12" t="s">
        <v>94</v>
      </c>
      <c r="BN14" s="12" t="s">
        <v>94</v>
      </c>
      <c r="BO14" s="12" t="s">
        <v>94</v>
      </c>
      <c r="BP14" s="16" t="s">
        <v>94</v>
      </c>
      <c r="BQ14" s="16" t="s">
        <v>94</v>
      </c>
      <c r="BR14" s="16" t="s">
        <v>94</v>
      </c>
      <c r="BS14" s="3" t="s">
        <v>72</v>
      </c>
      <c r="BT14" s="3" t="s">
        <v>73</v>
      </c>
      <c r="BU14" s="3" t="s">
        <v>68</v>
      </c>
      <c r="BV14" s="3">
        <v>0</v>
      </c>
      <c r="BW14" s="3">
        <v>0</v>
      </c>
      <c r="BX14" s="3">
        <v>1</v>
      </c>
      <c r="BY14" s="3">
        <v>0</v>
      </c>
      <c r="BZ14" s="3">
        <v>0</v>
      </c>
      <c r="CA14" s="3">
        <v>0</v>
      </c>
      <c r="CB14" s="3">
        <v>1</v>
      </c>
      <c r="CC14" s="3">
        <v>1</v>
      </c>
      <c r="CD14" s="3">
        <v>0</v>
      </c>
      <c r="CE14" s="3">
        <v>0</v>
      </c>
      <c r="CF14" s="3">
        <v>0</v>
      </c>
      <c r="CH14" s="3">
        <v>1</v>
      </c>
      <c r="CI14" s="3">
        <v>0</v>
      </c>
      <c r="CJ14" s="5">
        <v>0</v>
      </c>
    </row>
    <row r="15" spans="1:88" ht="14.4" x14ac:dyDescent="0.35">
      <c r="A15" s="3" t="s">
        <v>128</v>
      </c>
      <c r="B15" s="3">
        <v>2</v>
      </c>
      <c r="C15" s="3" t="s">
        <v>129</v>
      </c>
      <c r="D15" s="3">
        <v>1</v>
      </c>
      <c r="E15" s="3">
        <v>2021</v>
      </c>
      <c r="F15" s="3">
        <v>14</v>
      </c>
      <c r="G15" s="3">
        <v>1</v>
      </c>
      <c r="H15" s="3">
        <v>17</v>
      </c>
      <c r="I15" s="3">
        <v>8</v>
      </c>
      <c r="J15" s="3">
        <v>30</v>
      </c>
      <c r="K15" s="3">
        <v>4</v>
      </c>
      <c r="L15" s="3">
        <v>1</v>
      </c>
      <c r="M15" s="3" t="s">
        <v>280</v>
      </c>
      <c r="N15" s="3">
        <v>17</v>
      </c>
      <c r="O15" s="3" t="s">
        <v>130</v>
      </c>
      <c r="P15" s="3" t="s">
        <v>72</v>
      </c>
      <c r="Q15" s="3" t="s">
        <v>68</v>
      </c>
      <c r="R15" s="3" t="s">
        <v>76</v>
      </c>
      <c r="S15" s="3" t="s">
        <v>69</v>
      </c>
      <c r="T15" s="3">
        <v>0</v>
      </c>
      <c r="U15" s="3" t="s">
        <v>131</v>
      </c>
      <c r="V15" s="3" t="s">
        <v>97</v>
      </c>
      <c r="W15" s="3" t="s">
        <v>97</v>
      </c>
      <c r="X15" s="3">
        <v>1</v>
      </c>
      <c r="Y15" s="3">
        <v>1</v>
      </c>
      <c r="Z15" s="3" t="s">
        <v>84</v>
      </c>
      <c r="AA15" s="3" t="s">
        <v>85</v>
      </c>
      <c r="AB15" s="3" t="s">
        <v>94</v>
      </c>
      <c r="AC15" s="3" t="s">
        <v>86</v>
      </c>
      <c r="AD15" s="3" t="s">
        <v>87</v>
      </c>
      <c r="AE15" s="3">
        <v>0</v>
      </c>
      <c r="AF15" s="3" t="s">
        <v>135</v>
      </c>
      <c r="AG15" s="3" t="s">
        <v>136</v>
      </c>
      <c r="AH15" s="10">
        <f t="shared" si="3"/>
        <v>473</v>
      </c>
      <c r="AI15" s="10">
        <f t="shared" si="4"/>
        <v>323</v>
      </c>
      <c r="AJ15" s="10">
        <f>SUM(BJ15,BR15)</f>
        <v>312</v>
      </c>
      <c r="AK15" s="10">
        <v>1</v>
      </c>
      <c r="AL15" s="3" t="s">
        <v>137</v>
      </c>
      <c r="AM15" s="3" t="s">
        <v>138</v>
      </c>
      <c r="AN15" s="3" t="s">
        <v>108</v>
      </c>
      <c r="AO15" s="3" t="s">
        <v>139</v>
      </c>
      <c r="AP15" s="3" t="s">
        <v>125</v>
      </c>
      <c r="AQ15" s="3">
        <v>2</v>
      </c>
      <c r="AR15" s="3">
        <v>0</v>
      </c>
      <c r="AS15" s="3" t="s">
        <v>111</v>
      </c>
      <c r="AT15" s="13" t="s">
        <v>94</v>
      </c>
      <c r="AU15" s="13" t="s">
        <v>94</v>
      </c>
      <c r="AV15" s="12">
        <f t="shared" si="5"/>
        <v>-0.26068706314219325</v>
      </c>
      <c r="AW15" s="12">
        <f>LN((BI15/(BJ15-BI15))/(BQ15/(BR15-BQ15)))*(SQRT(3)/PI())</f>
        <v>0.35129391781925984</v>
      </c>
      <c r="AX15" s="12">
        <v>2.5000000000000001E-2</v>
      </c>
      <c r="AY15" s="13"/>
      <c r="AZ15" s="13"/>
      <c r="BA15" s="13"/>
      <c r="BB15" s="13"/>
      <c r="BC15" s="10"/>
      <c r="BD15" s="13"/>
      <c r="BE15" s="13"/>
      <c r="BF15" s="13"/>
      <c r="BG15" s="10"/>
      <c r="BH15" s="13"/>
      <c r="BI15" s="16">
        <f>(0.617*BJ15)</f>
        <v>99.953999999999994</v>
      </c>
      <c r="BJ15" s="16">
        <v>162</v>
      </c>
      <c r="BK15" s="16">
        <f>(0.501*BL15)</f>
        <v>80.661000000000001</v>
      </c>
      <c r="BL15" s="16">
        <v>161</v>
      </c>
      <c r="BM15" s="12"/>
      <c r="BN15" s="12"/>
      <c r="BO15" s="12"/>
      <c r="BP15" s="16"/>
      <c r="BQ15" s="16">
        <f>0.46*BR15</f>
        <v>69</v>
      </c>
      <c r="BR15" s="16">
        <v>150</v>
      </c>
      <c r="BS15" s="3" t="s">
        <v>72</v>
      </c>
      <c r="BT15" s="3" t="s">
        <v>68</v>
      </c>
      <c r="BU15" s="3" t="s">
        <v>76</v>
      </c>
      <c r="BV15" s="3" t="s">
        <v>69</v>
      </c>
      <c r="BW15" s="3">
        <v>0</v>
      </c>
      <c r="BX15" s="3">
        <v>1</v>
      </c>
      <c r="BY15" s="3">
        <v>1</v>
      </c>
      <c r="BZ15" s="3">
        <v>0</v>
      </c>
      <c r="CA15" s="3">
        <v>0</v>
      </c>
      <c r="CB15" s="3">
        <v>1</v>
      </c>
      <c r="CC15" s="3">
        <v>0</v>
      </c>
      <c r="CD15" s="3">
        <v>0</v>
      </c>
      <c r="CE15" s="3">
        <v>0</v>
      </c>
      <c r="CF15" s="3">
        <v>1</v>
      </c>
      <c r="CH15">
        <v>1</v>
      </c>
      <c r="CI15" s="3">
        <v>0</v>
      </c>
      <c r="CJ15" s="5">
        <v>0</v>
      </c>
    </row>
    <row r="16" spans="1:88" ht="14.4" x14ac:dyDescent="0.35">
      <c r="A16" s="3" t="s">
        <v>128</v>
      </c>
      <c r="B16" s="3">
        <v>2</v>
      </c>
      <c r="C16" s="3" t="s">
        <v>129</v>
      </c>
      <c r="D16" s="3">
        <v>1</v>
      </c>
      <c r="E16" s="3">
        <v>2021</v>
      </c>
      <c r="F16" s="3">
        <v>15</v>
      </c>
      <c r="G16" s="3">
        <v>1</v>
      </c>
      <c r="H16" s="3">
        <v>17</v>
      </c>
      <c r="I16" s="3">
        <v>9</v>
      </c>
      <c r="J16" s="3">
        <v>30</v>
      </c>
      <c r="K16" s="3">
        <v>4</v>
      </c>
      <c r="L16" s="3">
        <v>1</v>
      </c>
      <c r="M16" s="3" t="s">
        <v>280</v>
      </c>
      <c r="N16" s="3">
        <v>17</v>
      </c>
      <c r="O16" s="3" t="s">
        <v>130</v>
      </c>
      <c r="P16" s="3" t="s">
        <v>72</v>
      </c>
      <c r="Q16" s="3" t="s">
        <v>68</v>
      </c>
      <c r="R16" s="3" t="s">
        <v>76</v>
      </c>
      <c r="S16" s="3" t="s">
        <v>69</v>
      </c>
      <c r="T16" s="3">
        <v>0</v>
      </c>
      <c r="U16" s="3" t="s">
        <v>131</v>
      </c>
      <c r="V16" s="3" t="s">
        <v>97</v>
      </c>
      <c r="W16" s="3" t="s">
        <v>97</v>
      </c>
      <c r="X16" s="3">
        <v>1</v>
      </c>
      <c r="Y16" s="3">
        <v>1</v>
      </c>
      <c r="Z16" s="3" t="s">
        <v>115</v>
      </c>
      <c r="AA16" s="3">
        <v>0</v>
      </c>
      <c r="AB16" s="3" t="s">
        <v>94</v>
      </c>
      <c r="AC16" s="3" t="s">
        <v>113</v>
      </c>
      <c r="AD16" s="3" t="s">
        <v>116</v>
      </c>
      <c r="AE16" s="3">
        <v>0</v>
      </c>
      <c r="AF16" s="3" t="s">
        <v>135</v>
      </c>
      <c r="AG16" s="3" t="s">
        <v>136</v>
      </c>
      <c r="AH16" s="10">
        <f t="shared" si="3"/>
        <v>461</v>
      </c>
      <c r="AI16" s="10">
        <f t="shared" si="4"/>
        <v>311</v>
      </c>
      <c r="AJ16" s="10">
        <f>SUM(BJ16,BR16)</f>
        <v>304</v>
      </c>
      <c r="AK16" s="10">
        <v>1</v>
      </c>
      <c r="AL16" s="3" t="s">
        <v>137</v>
      </c>
      <c r="AM16" s="3" t="s">
        <v>138</v>
      </c>
      <c r="AN16" s="3" t="s">
        <v>108</v>
      </c>
      <c r="AO16" s="3" t="s">
        <v>139</v>
      </c>
      <c r="AP16" s="3" t="s">
        <v>125</v>
      </c>
      <c r="AQ16" s="3">
        <v>0</v>
      </c>
      <c r="AR16" s="3">
        <v>0</v>
      </c>
      <c r="AS16" s="3" t="s">
        <v>111</v>
      </c>
      <c r="AT16" s="13" t="s">
        <v>94</v>
      </c>
      <c r="AU16" s="13" t="s">
        <v>94</v>
      </c>
      <c r="AV16" s="12">
        <f t="shared" si="5"/>
        <v>0.1195533194040851</v>
      </c>
      <c r="AW16" s="12">
        <f>LN((BI16/(BJ16-BI16))/(BQ16/(BR16-BQ16)))*(SQRT(3)/PI())</f>
        <v>8.8401536154951527E-2</v>
      </c>
      <c r="AX16" s="12">
        <v>0.17</v>
      </c>
      <c r="AY16" s="13"/>
      <c r="AZ16" s="13"/>
      <c r="BA16" s="13"/>
      <c r="BB16" s="13"/>
      <c r="BC16" s="10"/>
      <c r="BD16" s="13"/>
      <c r="BE16" s="13"/>
      <c r="BF16" s="13"/>
      <c r="BG16" s="10"/>
      <c r="BH16" s="13"/>
      <c r="BI16" s="16">
        <f>(0.5*BJ16)</f>
        <v>77</v>
      </c>
      <c r="BJ16" s="16">
        <v>154</v>
      </c>
      <c r="BK16" s="16">
        <f>(0.554*BL16)</f>
        <v>86.978000000000009</v>
      </c>
      <c r="BL16" s="16">
        <v>157</v>
      </c>
      <c r="BM16" s="12"/>
      <c r="BN16" s="12"/>
      <c r="BO16" s="12"/>
      <c r="BP16" s="16"/>
      <c r="BQ16" s="16">
        <f>0.46*BR16</f>
        <v>69</v>
      </c>
      <c r="BR16" s="16">
        <v>150</v>
      </c>
      <c r="BS16" s="3" t="s">
        <v>72</v>
      </c>
      <c r="BT16" s="3" t="s">
        <v>68</v>
      </c>
      <c r="BU16" s="3" t="s">
        <v>76</v>
      </c>
      <c r="BV16" s="3" t="s">
        <v>69</v>
      </c>
      <c r="BW16" s="3">
        <v>0</v>
      </c>
      <c r="BX16" s="3">
        <v>1</v>
      </c>
      <c r="BY16" s="3">
        <v>1</v>
      </c>
      <c r="BZ16" s="3">
        <v>0</v>
      </c>
      <c r="CA16" s="3">
        <v>0</v>
      </c>
      <c r="CB16" s="3">
        <v>1</v>
      </c>
      <c r="CC16" s="3">
        <v>0</v>
      </c>
      <c r="CD16" s="3">
        <v>0</v>
      </c>
      <c r="CE16" s="3">
        <v>0</v>
      </c>
      <c r="CF16" s="3">
        <v>1</v>
      </c>
      <c r="CH16">
        <v>1</v>
      </c>
      <c r="CI16" s="3">
        <v>0</v>
      </c>
      <c r="CJ16" s="5">
        <v>0</v>
      </c>
    </row>
    <row r="17" spans="1:88" ht="14.4" x14ac:dyDescent="0.35">
      <c r="A17" s="3" t="s">
        <v>128</v>
      </c>
      <c r="B17" s="3">
        <v>2</v>
      </c>
      <c r="C17" s="3" t="s">
        <v>129</v>
      </c>
      <c r="D17" s="3">
        <v>1</v>
      </c>
      <c r="E17" s="3">
        <v>2021</v>
      </c>
      <c r="F17" s="3">
        <v>16</v>
      </c>
      <c r="G17" s="3">
        <v>1</v>
      </c>
      <c r="H17" s="3">
        <v>17</v>
      </c>
      <c r="I17" s="3">
        <v>10</v>
      </c>
      <c r="J17" s="3">
        <v>30</v>
      </c>
      <c r="K17" s="3">
        <v>4</v>
      </c>
      <c r="L17" s="3">
        <v>1</v>
      </c>
      <c r="M17" s="3" t="s">
        <v>280</v>
      </c>
      <c r="N17" s="3">
        <v>17</v>
      </c>
      <c r="O17" s="3" t="s">
        <v>130</v>
      </c>
      <c r="P17" s="3" t="s">
        <v>72</v>
      </c>
      <c r="Q17" s="3" t="s">
        <v>68</v>
      </c>
      <c r="R17" s="3" t="s">
        <v>76</v>
      </c>
      <c r="S17" s="3" t="s">
        <v>69</v>
      </c>
      <c r="T17" s="3">
        <v>0</v>
      </c>
      <c r="U17" s="3" t="s">
        <v>131</v>
      </c>
      <c r="V17" s="3" t="s">
        <v>97</v>
      </c>
      <c r="W17" s="3" t="s">
        <v>97</v>
      </c>
      <c r="X17" s="3">
        <v>1</v>
      </c>
      <c r="Y17" s="3">
        <v>1</v>
      </c>
      <c r="Z17" s="3" t="s">
        <v>132</v>
      </c>
      <c r="AA17" s="3">
        <v>0</v>
      </c>
      <c r="AB17" s="3" t="s">
        <v>94</v>
      </c>
      <c r="AC17" s="3" t="s">
        <v>133</v>
      </c>
      <c r="AD17" s="3" t="s">
        <v>134</v>
      </c>
      <c r="AE17" s="3">
        <v>0</v>
      </c>
      <c r="AF17" s="3" t="s">
        <v>135</v>
      </c>
      <c r="AG17" s="3" t="s">
        <v>136</v>
      </c>
      <c r="AH17" s="10">
        <f t="shared" si="3"/>
        <v>462</v>
      </c>
      <c r="AI17" s="10">
        <f t="shared" si="4"/>
        <v>312</v>
      </c>
      <c r="AJ17" s="10">
        <f>SUM(BJ17,BR17)</f>
        <v>308</v>
      </c>
      <c r="AK17" s="10">
        <v>1</v>
      </c>
      <c r="AL17" s="3" t="s">
        <v>137</v>
      </c>
      <c r="AM17" s="3" t="s">
        <v>138</v>
      </c>
      <c r="AN17" s="3" t="s">
        <v>108</v>
      </c>
      <c r="AO17" s="3" t="s">
        <v>139</v>
      </c>
      <c r="AP17" s="3" t="s">
        <v>125</v>
      </c>
      <c r="AQ17" s="3">
        <v>0</v>
      </c>
      <c r="AR17" s="3">
        <v>0</v>
      </c>
      <c r="AS17" s="3" t="s">
        <v>111</v>
      </c>
      <c r="AT17" s="13" t="s">
        <v>94</v>
      </c>
      <c r="AU17" s="13" t="s">
        <v>94</v>
      </c>
      <c r="AV17" s="12">
        <f t="shared" si="5"/>
        <v>-4.6527452721103459E-2</v>
      </c>
      <c r="AW17" s="12">
        <f>LN((BI17/(BJ17-BI17))/(BQ17/(BR17-BQ17)))*(SQRT(3)/PI())</f>
        <v>0.18568706884453676</v>
      </c>
      <c r="AX17" s="12">
        <v>0.37</v>
      </c>
      <c r="AY17" s="13"/>
      <c r="AZ17" s="13"/>
      <c r="BA17" s="13"/>
      <c r="BB17" s="13"/>
      <c r="BC17" s="10"/>
      <c r="BD17" s="13"/>
      <c r="BE17" s="13"/>
      <c r="BF17" s="13"/>
      <c r="BG17" s="10"/>
      <c r="BH17" s="13"/>
      <c r="BI17" s="16">
        <f>(0.544*BJ17)</f>
        <v>85.952000000000012</v>
      </c>
      <c r="BJ17" s="16">
        <v>158</v>
      </c>
      <c r="BK17" s="16">
        <f>(0.523*BL17)</f>
        <v>80.542000000000002</v>
      </c>
      <c r="BL17" s="16">
        <v>154</v>
      </c>
      <c r="BM17" s="12"/>
      <c r="BN17" s="12"/>
      <c r="BO17" s="12"/>
      <c r="BP17" s="16"/>
      <c r="BQ17" s="16">
        <f>0.46*BR17</f>
        <v>69</v>
      </c>
      <c r="BR17" s="16">
        <v>150</v>
      </c>
      <c r="BS17" s="3" t="s">
        <v>72</v>
      </c>
      <c r="BT17" s="3" t="s">
        <v>68</v>
      </c>
      <c r="BU17" s="3" t="s">
        <v>76</v>
      </c>
      <c r="BV17" s="3" t="s">
        <v>69</v>
      </c>
      <c r="BW17" s="3">
        <v>0</v>
      </c>
      <c r="BX17" s="3">
        <v>1</v>
      </c>
      <c r="BY17" s="3">
        <v>1</v>
      </c>
      <c r="BZ17" s="3">
        <v>0</v>
      </c>
      <c r="CA17" s="3">
        <v>0</v>
      </c>
      <c r="CB17" s="3">
        <v>1</v>
      </c>
      <c r="CC17" s="3">
        <v>0</v>
      </c>
      <c r="CD17" s="3">
        <v>0</v>
      </c>
      <c r="CE17" s="3">
        <v>0</v>
      </c>
      <c r="CF17" s="3">
        <v>1</v>
      </c>
      <c r="CH17">
        <v>1</v>
      </c>
      <c r="CI17" s="3">
        <v>0</v>
      </c>
      <c r="CJ17" s="5">
        <v>0</v>
      </c>
    </row>
    <row r="18" spans="1:88" x14ac:dyDescent="0.35">
      <c r="A18" s="3" t="s">
        <v>140</v>
      </c>
      <c r="B18" s="3">
        <v>1</v>
      </c>
      <c r="C18" s="3" t="s">
        <v>141</v>
      </c>
      <c r="D18" s="3">
        <v>0</v>
      </c>
      <c r="E18" s="3">
        <v>2021</v>
      </c>
      <c r="F18" s="3">
        <v>17</v>
      </c>
      <c r="G18" s="3">
        <v>1</v>
      </c>
      <c r="H18" s="3">
        <v>20</v>
      </c>
      <c r="I18" s="3">
        <v>11</v>
      </c>
      <c r="J18" s="3">
        <v>33</v>
      </c>
      <c r="K18" s="3">
        <v>5</v>
      </c>
      <c r="L18" s="3">
        <v>1</v>
      </c>
      <c r="M18" s="3" t="s">
        <v>280</v>
      </c>
      <c r="N18" s="3">
        <v>20</v>
      </c>
      <c r="O18" s="3" t="s">
        <v>142</v>
      </c>
      <c r="P18" s="3" t="s">
        <v>72</v>
      </c>
      <c r="Q18" s="3" t="s">
        <v>69</v>
      </c>
      <c r="R18" s="3" t="s">
        <v>68</v>
      </c>
      <c r="S18" s="3" t="s">
        <v>74</v>
      </c>
      <c r="T18" s="3">
        <v>0</v>
      </c>
      <c r="U18" s="3" t="s">
        <v>143</v>
      </c>
      <c r="V18" s="3" t="s">
        <v>97</v>
      </c>
      <c r="W18" s="3" t="s">
        <v>97</v>
      </c>
      <c r="X18" s="3">
        <v>1</v>
      </c>
      <c r="Y18" s="3">
        <v>1</v>
      </c>
      <c r="Z18" s="3" t="s">
        <v>84</v>
      </c>
      <c r="AA18" s="3" t="s">
        <v>85</v>
      </c>
      <c r="AB18" s="3" t="s">
        <v>94</v>
      </c>
      <c r="AC18" s="3" t="s">
        <v>86</v>
      </c>
      <c r="AD18" s="3" t="s">
        <v>87</v>
      </c>
      <c r="AE18" s="3" t="s">
        <v>144</v>
      </c>
      <c r="AF18" s="3" t="s">
        <v>88</v>
      </c>
      <c r="AG18" s="3" t="s">
        <v>88</v>
      </c>
      <c r="AH18" s="10">
        <f>SUM(BC18,BG18,BP18)</f>
        <v>120</v>
      </c>
      <c r="AI18" s="10">
        <f>SUM(BC18,BG18)</f>
        <v>120</v>
      </c>
      <c r="AJ18" s="10" t="s">
        <v>94</v>
      </c>
      <c r="AK18" s="10">
        <v>0</v>
      </c>
      <c r="AL18" s="3" t="s">
        <v>145</v>
      </c>
      <c r="AM18" s="3" t="s">
        <v>138</v>
      </c>
      <c r="AN18" s="3" t="s">
        <v>89</v>
      </c>
      <c r="AO18" s="3" t="s">
        <v>146</v>
      </c>
      <c r="AP18" s="3" t="s">
        <v>91</v>
      </c>
      <c r="AQ18" s="3">
        <v>0</v>
      </c>
      <c r="AR18" s="3">
        <v>0</v>
      </c>
      <c r="AS18" s="3" t="s">
        <v>92</v>
      </c>
      <c r="AT18" s="13" t="s">
        <v>94</v>
      </c>
      <c r="AU18" s="13" t="s">
        <v>94</v>
      </c>
      <c r="AV18" s="12">
        <f>(BD18-AZ18)/(SQRT((BB18^2+BF18^2)/2))</f>
        <v>0.21284833914725121</v>
      </c>
      <c r="AW18" s="12" t="s">
        <v>94</v>
      </c>
      <c r="AX18" s="12">
        <v>0.1</v>
      </c>
      <c r="AY18" s="13"/>
      <c r="AZ18" s="12">
        <f>(5.92+5.63)/2</f>
        <v>5.7750000000000004</v>
      </c>
      <c r="BA18" s="13"/>
      <c r="BB18" s="12">
        <f>(3.99+4.01)/2</f>
        <v>4</v>
      </c>
      <c r="BC18" s="10">
        <v>80</v>
      </c>
      <c r="BD18" s="3">
        <v>6.66</v>
      </c>
      <c r="BE18" s="13"/>
      <c r="BF18" s="3">
        <v>4.3099999999999996</v>
      </c>
      <c r="BG18" s="10">
        <v>40</v>
      </c>
      <c r="BH18" s="13"/>
      <c r="BI18" s="10"/>
      <c r="BJ18" s="10"/>
      <c r="BK18" s="10"/>
      <c r="BL18" s="10"/>
      <c r="BM18" s="12" t="s">
        <v>94</v>
      </c>
      <c r="BN18" s="12" t="s">
        <v>94</v>
      </c>
      <c r="BO18" s="12" t="s">
        <v>94</v>
      </c>
      <c r="BP18" s="16" t="s">
        <v>94</v>
      </c>
      <c r="BQ18" s="10" t="s">
        <v>94</v>
      </c>
      <c r="BR18" s="10" t="s">
        <v>94</v>
      </c>
      <c r="BS18" s="3" t="s">
        <v>72</v>
      </c>
      <c r="BT18" s="3" t="s">
        <v>69</v>
      </c>
      <c r="BU18" s="3" t="s">
        <v>68</v>
      </c>
      <c r="BV18" s="3" t="s">
        <v>74</v>
      </c>
      <c r="BW18" s="3">
        <v>0</v>
      </c>
      <c r="BX18" s="3">
        <v>1</v>
      </c>
      <c r="BY18" s="3">
        <v>1</v>
      </c>
      <c r="BZ18" s="3">
        <v>0</v>
      </c>
      <c r="CA18" s="3">
        <v>0</v>
      </c>
      <c r="CB18" s="3">
        <v>1</v>
      </c>
      <c r="CC18" s="3">
        <v>0</v>
      </c>
      <c r="CD18" s="3">
        <v>1</v>
      </c>
      <c r="CE18" s="3">
        <v>0</v>
      </c>
      <c r="CF18" s="3">
        <v>0</v>
      </c>
      <c r="CH18">
        <v>1</v>
      </c>
      <c r="CI18" s="3">
        <v>0</v>
      </c>
      <c r="CJ18" s="5">
        <v>0</v>
      </c>
    </row>
    <row r="19" spans="1:88" ht="14.4" x14ac:dyDescent="0.35">
      <c r="A19" s="3" t="s">
        <v>147</v>
      </c>
      <c r="B19" s="3">
        <v>2</v>
      </c>
      <c r="C19" s="3" t="s">
        <v>148</v>
      </c>
      <c r="D19" s="3">
        <v>0</v>
      </c>
      <c r="E19" s="3">
        <v>2021</v>
      </c>
      <c r="F19" s="3">
        <v>18</v>
      </c>
      <c r="G19" s="3">
        <v>1</v>
      </c>
      <c r="H19" s="3">
        <v>21</v>
      </c>
      <c r="I19" s="3">
        <v>12</v>
      </c>
      <c r="J19" s="3">
        <v>34</v>
      </c>
      <c r="K19" s="3">
        <v>6</v>
      </c>
      <c r="L19" s="3">
        <v>1</v>
      </c>
      <c r="M19" s="3" t="s">
        <v>280</v>
      </c>
      <c r="N19" s="3">
        <v>21</v>
      </c>
      <c r="O19" s="3" t="s">
        <v>149</v>
      </c>
      <c r="P19" s="3"/>
      <c r="Q19" s="3"/>
      <c r="R19" s="3"/>
      <c r="S19" s="3"/>
      <c r="T19" s="3"/>
      <c r="U19" s="3" t="s">
        <v>150</v>
      </c>
      <c r="V19" s="3" t="s">
        <v>97</v>
      </c>
      <c r="W19" s="3" t="s">
        <v>97</v>
      </c>
      <c r="X19" s="3">
        <v>1</v>
      </c>
      <c r="Y19" s="3">
        <v>1</v>
      </c>
      <c r="Z19" s="3" t="s">
        <v>115</v>
      </c>
      <c r="AA19" s="3">
        <v>0</v>
      </c>
      <c r="AB19" s="3" t="s">
        <v>94</v>
      </c>
      <c r="AC19" s="3" t="s">
        <v>113</v>
      </c>
      <c r="AD19" s="3" t="s">
        <v>116</v>
      </c>
      <c r="AE19" s="3">
        <v>0</v>
      </c>
      <c r="AF19" s="3" t="s">
        <v>121</v>
      </c>
      <c r="AG19" s="3" t="s">
        <v>121</v>
      </c>
      <c r="AH19" s="10">
        <f>SUM(BJ19,BL19,BR19)</f>
        <v>94</v>
      </c>
      <c r="AI19" s="10">
        <f>SUM(BJ19,BL19)</f>
        <v>64</v>
      </c>
      <c r="AJ19" s="10">
        <f>SUM(BJ19,BR19)</f>
        <v>63</v>
      </c>
      <c r="AK19" s="10">
        <v>0</v>
      </c>
      <c r="AL19" s="3" t="s">
        <v>151</v>
      </c>
      <c r="AM19" s="3" t="s">
        <v>152</v>
      </c>
      <c r="AN19" s="3" t="s">
        <v>89</v>
      </c>
      <c r="AO19" s="3" t="s">
        <v>153</v>
      </c>
      <c r="AP19" s="3" t="s">
        <v>91</v>
      </c>
      <c r="AQ19" s="3">
        <v>0</v>
      </c>
      <c r="AR19" s="3">
        <v>0</v>
      </c>
      <c r="AS19" s="3" t="s">
        <v>111</v>
      </c>
      <c r="AT19" s="13" t="s">
        <v>94</v>
      </c>
      <c r="AU19" s="13" t="s">
        <v>94</v>
      </c>
      <c r="AV19" s="17">
        <f>LN((BK19/(BL19-BK19))/(BI19/(BJ19-BI19)))*(SQRT(3)/PI())</f>
        <v>-0.27308502086676445</v>
      </c>
      <c r="AW19" s="12">
        <f>LN((BI19/(BJ19-BI19))/(BQ19/(BR19-BQ19)))*(SQRT(3)/PI())</f>
        <v>0.2375030692958314</v>
      </c>
      <c r="AX19" s="12">
        <v>0.41</v>
      </c>
      <c r="AY19" s="13"/>
      <c r="AZ19" s="13"/>
      <c r="BA19" s="13"/>
      <c r="BB19" s="13"/>
      <c r="BC19" s="10"/>
      <c r="BD19" s="13"/>
      <c r="BE19" s="13"/>
      <c r="BF19" s="13"/>
      <c r="BG19" s="10"/>
      <c r="BH19" s="13"/>
      <c r="BI19" s="10">
        <v>20</v>
      </c>
      <c r="BJ19" s="10">
        <v>33</v>
      </c>
      <c r="BK19" s="10">
        <v>15</v>
      </c>
      <c r="BL19" s="10">
        <v>31</v>
      </c>
      <c r="BM19" s="12"/>
      <c r="BN19" s="12"/>
      <c r="BO19" s="12"/>
      <c r="BP19" s="16"/>
      <c r="BQ19" s="16">
        <v>15</v>
      </c>
      <c r="BR19" s="16">
        <v>30</v>
      </c>
      <c r="BS19" s="3" t="s">
        <v>68</v>
      </c>
      <c r="BT19" s="3">
        <v>0</v>
      </c>
      <c r="BU19" s="3">
        <v>0</v>
      </c>
      <c r="BV19" s="3">
        <v>0</v>
      </c>
      <c r="BW19" s="3">
        <v>0</v>
      </c>
      <c r="BX19" s="3">
        <v>1</v>
      </c>
      <c r="BY19" s="3">
        <v>0</v>
      </c>
      <c r="BZ19" s="3">
        <v>0</v>
      </c>
      <c r="CA19" s="3">
        <v>0</v>
      </c>
      <c r="CB19" s="3">
        <v>0</v>
      </c>
      <c r="CC19" s="3">
        <v>0</v>
      </c>
      <c r="CD19" s="3">
        <v>0</v>
      </c>
      <c r="CE19" s="3">
        <v>0</v>
      </c>
      <c r="CF19" s="3">
        <v>0</v>
      </c>
      <c r="CH19">
        <v>1</v>
      </c>
      <c r="CI19" s="3">
        <v>0</v>
      </c>
      <c r="CJ19">
        <v>1</v>
      </c>
    </row>
    <row r="20" spans="1:88" ht="14.4" x14ac:dyDescent="0.35">
      <c r="A20" s="3" t="s">
        <v>147</v>
      </c>
      <c r="B20" s="3">
        <v>2</v>
      </c>
      <c r="C20" s="3" t="s">
        <v>148</v>
      </c>
      <c r="D20" s="3">
        <v>0</v>
      </c>
      <c r="E20" s="3">
        <v>2021</v>
      </c>
      <c r="F20" s="3">
        <v>19</v>
      </c>
      <c r="G20" s="3">
        <v>1</v>
      </c>
      <c r="H20" s="3">
        <v>21</v>
      </c>
      <c r="I20" s="3">
        <v>12</v>
      </c>
      <c r="J20" s="3">
        <v>36</v>
      </c>
      <c r="K20" s="3">
        <v>6</v>
      </c>
      <c r="L20" s="3">
        <v>1</v>
      </c>
      <c r="M20" s="3" t="s">
        <v>280</v>
      </c>
      <c r="N20" s="3">
        <v>21</v>
      </c>
      <c r="O20" s="3" t="s">
        <v>149</v>
      </c>
      <c r="P20" s="3"/>
      <c r="Q20" s="3"/>
      <c r="R20" s="3"/>
      <c r="S20" s="3"/>
      <c r="T20" s="3"/>
      <c r="U20" s="3" t="s">
        <v>154</v>
      </c>
      <c r="V20" s="3" t="s">
        <v>82</v>
      </c>
      <c r="W20" s="3" t="s">
        <v>155</v>
      </c>
      <c r="X20" s="3">
        <v>1</v>
      </c>
      <c r="Y20" s="3">
        <v>0</v>
      </c>
      <c r="Z20" s="3" t="s">
        <v>115</v>
      </c>
      <c r="AA20" s="3">
        <v>0</v>
      </c>
      <c r="AB20" s="3" t="s">
        <v>94</v>
      </c>
      <c r="AC20" s="3" t="s">
        <v>113</v>
      </c>
      <c r="AD20" s="3" t="s">
        <v>116</v>
      </c>
      <c r="AE20" s="3">
        <v>0</v>
      </c>
      <c r="AF20" s="3" t="s">
        <v>121</v>
      </c>
      <c r="AG20" s="3" t="s">
        <v>121</v>
      </c>
      <c r="AH20" s="10">
        <f>SUM(BC20,BG20,BP20)</f>
        <v>94</v>
      </c>
      <c r="AI20" s="10">
        <f>SUM(BC20,BG20)</f>
        <v>64</v>
      </c>
      <c r="AJ20" s="10">
        <f>SUM(BP20,BC20)</f>
        <v>63</v>
      </c>
      <c r="AK20" s="10">
        <v>0</v>
      </c>
      <c r="AL20" s="3" t="s">
        <v>151</v>
      </c>
      <c r="AM20" s="3" t="s">
        <v>152</v>
      </c>
      <c r="AN20" s="3" t="s">
        <v>89</v>
      </c>
      <c r="AO20" s="3" t="s">
        <v>153</v>
      </c>
      <c r="AP20" s="3" t="s">
        <v>91</v>
      </c>
      <c r="AQ20" s="3">
        <v>0</v>
      </c>
      <c r="AR20" s="3">
        <v>0</v>
      </c>
      <c r="AS20" s="3" t="s">
        <v>92</v>
      </c>
      <c r="AT20" s="13" t="s">
        <v>94</v>
      </c>
      <c r="AU20" s="13" t="s">
        <v>94</v>
      </c>
      <c r="AV20" s="17">
        <f>(BD20-AZ20)/(SQRT((BB20^2+BF20^2)/2))</f>
        <v>1.7442310721135054E-2</v>
      </c>
      <c r="AW20" s="12">
        <f>(AZ20-BM20)/(SQRT((BO20^2+BB20^2)/2))</f>
        <v>0.44053879592946921</v>
      </c>
      <c r="AX20" s="12">
        <v>0.95</v>
      </c>
      <c r="AY20" s="11">
        <v>-7.0000000000000007E-2</v>
      </c>
      <c r="AZ20" s="3">
        <v>0.24199999999999999</v>
      </c>
      <c r="BA20" s="13"/>
      <c r="BB20" s="3">
        <v>0.86699999999999999</v>
      </c>
      <c r="BC20" s="10">
        <v>33</v>
      </c>
      <c r="BD20" s="3">
        <v>0.25800000000000001</v>
      </c>
      <c r="BE20" s="13"/>
      <c r="BF20" s="3">
        <v>0.96499999999999997</v>
      </c>
      <c r="BG20" s="10">
        <v>31</v>
      </c>
      <c r="BH20" s="13"/>
      <c r="BI20" s="10"/>
      <c r="BJ20" s="10"/>
      <c r="BK20" s="10"/>
      <c r="BL20" s="10"/>
      <c r="BM20" s="12">
        <v>-0.16700000000000001</v>
      </c>
      <c r="BN20" s="12"/>
      <c r="BO20" s="12">
        <v>0.98599999999999999</v>
      </c>
      <c r="BP20" s="16">
        <v>30</v>
      </c>
      <c r="BQ20" s="16"/>
      <c r="BR20" s="16"/>
      <c r="BS20" s="3" t="s">
        <v>68</v>
      </c>
      <c r="BT20" s="3">
        <v>0</v>
      </c>
      <c r="BU20" s="3">
        <v>0</v>
      </c>
      <c r="BV20" s="3">
        <v>0</v>
      </c>
      <c r="BW20" s="3">
        <v>0</v>
      </c>
      <c r="BX20" s="3">
        <v>1</v>
      </c>
      <c r="BY20" s="3">
        <v>0</v>
      </c>
      <c r="BZ20" s="3">
        <v>0</v>
      </c>
      <c r="CA20" s="3">
        <v>0</v>
      </c>
      <c r="CB20" s="3">
        <v>0</v>
      </c>
      <c r="CC20" s="3">
        <v>0</v>
      </c>
      <c r="CD20" s="3">
        <v>0</v>
      </c>
      <c r="CE20" s="3">
        <v>0</v>
      </c>
      <c r="CF20" s="3">
        <v>0</v>
      </c>
      <c r="CH20">
        <v>1</v>
      </c>
      <c r="CI20" s="3">
        <v>0</v>
      </c>
      <c r="CJ20">
        <v>1</v>
      </c>
    </row>
    <row r="21" spans="1:88" ht="14.4" x14ac:dyDescent="0.35">
      <c r="A21" s="3" t="s">
        <v>147</v>
      </c>
      <c r="B21" s="3">
        <v>2</v>
      </c>
      <c r="C21" s="3" t="s">
        <v>148</v>
      </c>
      <c r="D21" s="3">
        <v>0</v>
      </c>
      <c r="E21" s="3">
        <v>2021</v>
      </c>
      <c r="F21" s="3">
        <v>20</v>
      </c>
      <c r="G21" s="3">
        <v>1</v>
      </c>
      <c r="H21" s="3">
        <v>21</v>
      </c>
      <c r="I21" s="3">
        <v>12</v>
      </c>
      <c r="J21" s="3">
        <v>35</v>
      </c>
      <c r="K21" s="3">
        <v>6</v>
      </c>
      <c r="L21" s="3">
        <v>1</v>
      </c>
      <c r="M21" s="3" t="s">
        <v>280</v>
      </c>
      <c r="N21" s="3">
        <v>21</v>
      </c>
      <c r="O21" s="3" t="s">
        <v>149</v>
      </c>
      <c r="P21" s="3"/>
      <c r="Q21" s="3"/>
      <c r="R21" s="3"/>
      <c r="S21" s="3"/>
      <c r="T21" s="3"/>
      <c r="U21" s="3" t="s">
        <v>156</v>
      </c>
      <c r="V21" s="3" t="s">
        <v>82</v>
      </c>
      <c r="W21" s="3" t="s">
        <v>155</v>
      </c>
      <c r="X21" s="3">
        <v>1</v>
      </c>
      <c r="Y21" s="3">
        <v>0</v>
      </c>
      <c r="Z21" s="3" t="s">
        <v>115</v>
      </c>
      <c r="AA21" s="3">
        <v>0</v>
      </c>
      <c r="AB21" s="3" t="s">
        <v>94</v>
      </c>
      <c r="AC21" s="3" t="s">
        <v>113</v>
      </c>
      <c r="AD21" s="3" t="s">
        <v>116</v>
      </c>
      <c r="AE21" s="3">
        <v>0</v>
      </c>
      <c r="AF21" s="3" t="s">
        <v>121</v>
      </c>
      <c r="AG21" s="3" t="s">
        <v>121</v>
      </c>
      <c r="AH21" s="10">
        <f>SUM(BC21,BG21,BP21)</f>
        <v>94</v>
      </c>
      <c r="AI21" s="10">
        <f>SUM(BC21,BG21)</f>
        <v>64</v>
      </c>
      <c r="AJ21" s="10">
        <f>SUM(BP21,BC21)</f>
        <v>63</v>
      </c>
      <c r="AK21" s="10">
        <v>0</v>
      </c>
      <c r="AL21" s="3" t="s">
        <v>151</v>
      </c>
      <c r="AM21" s="3" t="s">
        <v>152</v>
      </c>
      <c r="AN21" s="3" t="s">
        <v>89</v>
      </c>
      <c r="AO21" s="3" t="s">
        <v>153</v>
      </c>
      <c r="AP21" s="3" t="s">
        <v>91</v>
      </c>
      <c r="AQ21" s="3">
        <v>0</v>
      </c>
      <c r="AR21" s="3">
        <v>0</v>
      </c>
      <c r="AS21" s="3" t="s">
        <v>92</v>
      </c>
      <c r="AT21" s="13" t="s">
        <v>94</v>
      </c>
      <c r="AU21" s="13" t="s">
        <v>94</v>
      </c>
      <c r="AV21" s="17">
        <f>(BD21-AZ21)/(SQRT((BB21^2+BF21^2)/2))</f>
        <v>0.2196014494317936</v>
      </c>
      <c r="AW21" s="12">
        <f>(AZ21-BM21)/(SQRT((BO21^2+BB21^2)/2))</f>
        <v>-7.7549533578968197E-2</v>
      </c>
      <c r="AX21" s="3">
        <v>0.38</v>
      </c>
      <c r="AY21" s="11">
        <v>-0.88</v>
      </c>
      <c r="AZ21" s="3">
        <v>0.39400000000000002</v>
      </c>
      <c r="BA21" s="13"/>
      <c r="BB21" s="13">
        <v>2.1920000000000002</v>
      </c>
      <c r="BC21" s="10">
        <v>33</v>
      </c>
      <c r="BD21" s="3">
        <v>0.83899999999999997</v>
      </c>
      <c r="BE21" s="13"/>
      <c r="BF21" s="13">
        <v>1.8460000000000001</v>
      </c>
      <c r="BG21" s="10">
        <v>31</v>
      </c>
      <c r="BH21" s="13"/>
      <c r="BI21" s="10"/>
      <c r="BJ21" s="10"/>
      <c r="BK21" s="10"/>
      <c r="BL21" s="10"/>
      <c r="BM21" s="12">
        <v>0.56699999999999995</v>
      </c>
      <c r="BN21" s="12"/>
      <c r="BO21" s="12">
        <v>2.2690000000000001</v>
      </c>
      <c r="BP21" s="16">
        <v>30</v>
      </c>
      <c r="BQ21" s="16"/>
      <c r="BR21" s="16"/>
      <c r="BS21" s="3" t="s">
        <v>68</v>
      </c>
      <c r="BT21" s="3">
        <v>0</v>
      </c>
      <c r="BU21" s="3">
        <v>0</v>
      </c>
      <c r="BV21" s="3">
        <v>0</v>
      </c>
      <c r="BW21" s="3">
        <v>0</v>
      </c>
      <c r="BX21" s="3">
        <v>1</v>
      </c>
      <c r="BY21" s="3">
        <v>0</v>
      </c>
      <c r="BZ21" s="3">
        <v>0</v>
      </c>
      <c r="CA21" s="3">
        <v>0</v>
      </c>
      <c r="CB21" s="3">
        <v>0</v>
      </c>
      <c r="CC21" s="3">
        <v>0</v>
      </c>
      <c r="CD21" s="3">
        <v>0</v>
      </c>
      <c r="CE21" s="3">
        <v>0</v>
      </c>
      <c r="CF21" s="3">
        <v>0</v>
      </c>
      <c r="CH21">
        <v>1</v>
      </c>
      <c r="CI21" s="3">
        <v>0</v>
      </c>
      <c r="CJ21">
        <v>1</v>
      </c>
    </row>
    <row r="22" spans="1:88" ht="14.4" x14ac:dyDescent="0.35">
      <c r="A22" s="3" t="s">
        <v>157</v>
      </c>
      <c r="B22" s="3">
        <v>2</v>
      </c>
      <c r="C22" s="3" t="s">
        <v>158</v>
      </c>
      <c r="D22" s="3">
        <v>0</v>
      </c>
      <c r="E22" s="3">
        <v>2021</v>
      </c>
      <c r="F22" s="3">
        <v>21</v>
      </c>
      <c r="G22" s="3">
        <v>1</v>
      </c>
      <c r="H22" s="3">
        <v>22</v>
      </c>
      <c r="I22" s="3">
        <v>13</v>
      </c>
      <c r="J22" s="3">
        <v>37</v>
      </c>
      <c r="K22" s="3">
        <v>7</v>
      </c>
      <c r="L22" s="3">
        <v>1</v>
      </c>
      <c r="M22" s="3" t="s">
        <v>280</v>
      </c>
      <c r="N22" s="3">
        <v>23</v>
      </c>
      <c r="O22" s="3" t="s">
        <v>159</v>
      </c>
      <c r="P22" s="3"/>
      <c r="Q22" s="3"/>
      <c r="R22" s="3"/>
      <c r="S22" s="3"/>
      <c r="T22" s="3"/>
      <c r="U22" s="3" t="s">
        <v>160</v>
      </c>
      <c r="V22" s="3" t="s">
        <v>97</v>
      </c>
      <c r="W22" s="3" t="s">
        <v>97</v>
      </c>
      <c r="X22" s="3">
        <v>1</v>
      </c>
      <c r="Y22" s="3">
        <v>1</v>
      </c>
      <c r="Z22" s="3" t="s">
        <v>115</v>
      </c>
      <c r="AA22" s="3">
        <v>0</v>
      </c>
      <c r="AB22" s="3" t="s">
        <v>94</v>
      </c>
      <c r="AC22" s="3" t="s">
        <v>113</v>
      </c>
      <c r="AD22" s="3" t="s">
        <v>116</v>
      </c>
      <c r="AE22" s="3">
        <v>0</v>
      </c>
      <c r="AF22" s="3" t="s">
        <v>161</v>
      </c>
      <c r="AG22" s="3" t="s">
        <v>162</v>
      </c>
      <c r="AH22" s="10">
        <f>SUM(BJ22,BL22,BR22)</f>
        <v>566</v>
      </c>
      <c r="AI22" s="10">
        <f>SUM(BJ22,BL22)</f>
        <v>370</v>
      </c>
      <c r="AJ22" s="10">
        <f>SUM(BJ22,BR22)</f>
        <v>384</v>
      </c>
      <c r="AK22" s="10">
        <v>1</v>
      </c>
      <c r="AL22" s="3" t="s">
        <v>163</v>
      </c>
      <c r="AM22" s="3" t="s">
        <v>164</v>
      </c>
      <c r="AN22" s="3" t="s">
        <v>108</v>
      </c>
      <c r="AO22" s="3" t="s">
        <v>124</v>
      </c>
      <c r="AP22" s="3" t="s">
        <v>125</v>
      </c>
      <c r="AQ22" s="3">
        <v>0</v>
      </c>
      <c r="AR22" s="3">
        <v>0</v>
      </c>
      <c r="AS22" s="3" t="s">
        <v>111</v>
      </c>
      <c r="AT22" s="13" t="s">
        <v>94</v>
      </c>
      <c r="AU22" s="13" t="s">
        <v>94</v>
      </c>
      <c r="AV22" s="12">
        <f>LN((BK22/(BL22-BK22))/(BI22/(BJ22-BI22)))*(SQRT(3)/PI())</f>
        <v>-0.16456780967172721</v>
      </c>
      <c r="AW22" s="12">
        <f>LN((BI22/(BJ22-BI22))/(BQ22/(BR22-BQ22)))*(SQRT(3)/PI())</f>
        <v>0.16456780967172721</v>
      </c>
      <c r="AX22" s="12">
        <v>0.154</v>
      </c>
      <c r="AY22" s="13"/>
      <c r="AZ22" s="13"/>
      <c r="BA22" s="13"/>
      <c r="BB22" s="13"/>
      <c r="BC22" s="10"/>
      <c r="BD22" s="13"/>
      <c r="BE22" s="13"/>
      <c r="BF22" s="13"/>
      <c r="BG22" s="10"/>
      <c r="BH22" s="13"/>
      <c r="BI22" s="16">
        <f>0.31*BJ22</f>
        <v>58.28</v>
      </c>
      <c r="BJ22" s="10">
        <v>188</v>
      </c>
      <c r="BK22" s="16">
        <f>0.25*BL22</f>
        <v>45.5</v>
      </c>
      <c r="BL22" s="10">
        <v>182</v>
      </c>
      <c r="BM22" s="12"/>
      <c r="BN22" s="12"/>
      <c r="BO22" s="12"/>
      <c r="BP22" s="16"/>
      <c r="BQ22" s="16">
        <f>0.25*BR22</f>
        <v>49</v>
      </c>
      <c r="BR22" s="16">
        <v>196</v>
      </c>
      <c r="BS22" s="3" t="s">
        <v>68</v>
      </c>
      <c r="BT22" s="3" t="s">
        <v>69</v>
      </c>
      <c r="BU22" s="3" t="s">
        <v>74</v>
      </c>
      <c r="BV22" s="3">
        <v>0</v>
      </c>
      <c r="BW22" s="3">
        <v>0</v>
      </c>
      <c r="BX22" s="3">
        <v>1</v>
      </c>
      <c r="BY22" s="3">
        <v>1</v>
      </c>
      <c r="BZ22" s="3">
        <v>0</v>
      </c>
      <c r="CA22" s="3">
        <v>0</v>
      </c>
      <c r="CB22" s="3">
        <v>0</v>
      </c>
      <c r="CC22" s="3">
        <v>0</v>
      </c>
      <c r="CD22" s="3">
        <v>1</v>
      </c>
      <c r="CE22" s="3">
        <v>0</v>
      </c>
      <c r="CF22" s="3">
        <v>0</v>
      </c>
      <c r="CH22">
        <v>1</v>
      </c>
      <c r="CI22" s="3">
        <v>0</v>
      </c>
      <c r="CJ22">
        <v>0</v>
      </c>
    </row>
    <row r="23" spans="1:88" s="2" customFormat="1" ht="14.4" x14ac:dyDescent="0.35">
      <c r="A23" s="3" t="s">
        <v>157</v>
      </c>
      <c r="B23" s="3">
        <v>2</v>
      </c>
      <c r="C23" s="3" t="s">
        <v>158</v>
      </c>
      <c r="D23" s="3">
        <v>0</v>
      </c>
      <c r="E23" s="3">
        <v>2021</v>
      </c>
      <c r="F23" s="3">
        <v>22</v>
      </c>
      <c r="G23" s="3">
        <v>1</v>
      </c>
      <c r="H23" s="3">
        <v>22</v>
      </c>
      <c r="I23" s="3">
        <v>13</v>
      </c>
      <c r="J23" s="3">
        <v>37</v>
      </c>
      <c r="K23" s="3">
        <v>7</v>
      </c>
      <c r="L23" s="3">
        <v>1</v>
      </c>
      <c r="M23" s="3" t="s">
        <v>280</v>
      </c>
      <c r="N23" s="3">
        <v>22</v>
      </c>
      <c r="O23" s="3" t="s">
        <v>165</v>
      </c>
      <c r="P23" s="3"/>
      <c r="Q23" s="3"/>
      <c r="R23" s="3"/>
      <c r="S23" s="3"/>
      <c r="T23" s="3"/>
      <c r="U23" s="3" t="s">
        <v>160</v>
      </c>
      <c r="V23" s="3" t="s">
        <v>97</v>
      </c>
      <c r="W23" s="3" t="s">
        <v>97</v>
      </c>
      <c r="X23" s="3">
        <v>1</v>
      </c>
      <c r="Y23" s="3">
        <v>1</v>
      </c>
      <c r="Z23" s="3" t="s">
        <v>115</v>
      </c>
      <c r="AA23" s="3">
        <v>0</v>
      </c>
      <c r="AB23" s="3" t="s">
        <v>94</v>
      </c>
      <c r="AC23" s="3" t="s">
        <v>113</v>
      </c>
      <c r="AD23" s="3" t="s">
        <v>116</v>
      </c>
      <c r="AE23" s="3">
        <v>0</v>
      </c>
      <c r="AF23" s="3" t="s">
        <v>161</v>
      </c>
      <c r="AG23" s="3" t="s">
        <v>162</v>
      </c>
      <c r="AH23" s="10">
        <f>SUM(BJ23,BL23,BR23)</f>
        <v>566</v>
      </c>
      <c r="AI23" s="10">
        <f>SUM(BJ23,BL23)</f>
        <v>370</v>
      </c>
      <c r="AJ23" s="10">
        <f>SUM(BJ23,BR23)</f>
        <v>384</v>
      </c>
      <c r="AK23" s="10">
        <v>1</v>
      </c>
      <c r="AL23" s="3" t="s">
        <v>163</v>
      </c>
      <c r="AM23" s="3" t="s">
        <v>164</v>
      </c>
      <c r="AN23" s="3" t="s">
        <v>108</v>
      </c>
      <c r="AO23" s="3" t="s">
        <v>124</v>
      </c>
      <c r="AP23" s="3" t="s">
        <v>125</v>
      </c>
      <c r="AQ23" s="3">
        <v>2</v>
      </c>
      <c r="AR23" s="3">
        <v>0</v>
      </c>
      <c r="AS23" s="3" t="s">
        <v>111</v>
      </c>
      <c r="AT23" s="13" t="s">
        <v>94</v>
      </c>
      <c r="AU23" s="13" t="s">
        <v>94</v>
      </c>
      <c r="AV23" s="12">
        <f>LN((BK23/(BL23-BK23))/(BI23/(BJ23-BI23)))*(SQRT(3)/PI())</f>
        <v>-0.39487729645244718</v>
      </c>
      <c r="AW23" s="12">
        <f>LN((BI23/(BJ23-BI23))/(BQ23/(BR23-BQ23)))*(SQRT(3)/PI())</f>
        <v>0.16456780967172721</v>
      </c>
      <c r="AX23" s="12">
        <v>2E-3</v>
      </c>
      <c r="AY23" s="13"/>
      <c r="AZ23" s="13"/>
      <c r="BA23" s="13"/>
      <c r="BB23" s="13"/>
      <c r="BC23" s="10"/>
      <c r="BD23" s="13"/>
      <c r="BE23" s="13"/>
      <c r="BF23" s="13"/>
      <c r="BG23" s="10"/>
      <c r="BH23" s="13"/>
      <c r="BI23" s="16">
        <f>0.31*BJ23</f>
        <v>58.28</v>
      </c>
      <c r="BJ23" s="10">
        <v>188</v>
      </c>
      <c r="BK23" s="16">
        <f>0.18*BL23</f>
        <v>32.76</v>
      </c>
      <c r="BL23" s="10">
        <v>182</v>
      </c>
      <c r="BM23" s="12"/>
      <c r="BN23" s="12"/>
      <c r="BO23" s="12"/>
      <c r="BP23" s="16"/>
      <c r="BQ23" s="16">
        <f>0.25*BR23</f>
        <v>49</v>
      </c>
      <c r="BR23" s="16">
        <v>196</v>
      </c>
      <c r="BS23" s="3" t="s">
        <v>68</v>
      </c>
      <c r="BT23" s="3" t="s">
        <v>69</v>
      </c>
      <c r="BU23" s="3">
        <v>0</v>
      </c>
      <c r="BV23" s="3">
        <v>0</v>
      </c>
      <c r="BW23" s="3">
        <v>0</v>
      </c>
      <c r="BX23" s="3">
        <v>1</v>
      </c>
      <c r="BY23" s="3">
        <v>1</v>
      </c>
      <c r="BZ23" s="3">
        <v>0</v>
      </c>
      <c r="CA23" s="3">
        <v>0</v>
      </c>
      <c r="CB23" s="3">
        <v>0</v>
      </c>
      <c r="CC23" s="3">
        <v>0</v>
      </c>
      <c r="CD23" s="3">
        <v>0</v>
      </c>
      <c r="CE23" s="3">
        <v>0</v>
      </c>
      <c r="CF23" s="3">
        <v>0</v>
      </c>
      <c r="CG23"/>
      <c r="CH23">
        <v>1</v>
      </c>
      <c r="CI23" s="3">
        <v>0</v>
      </c>
      <c r="CJ23">
        <v>0</v>
      </c>
    </row>
    <row r="24" spans="1:88" s="7" customFormat="1" x14ac:dyDescent="0.35">
      <c r="A24" s="3" t="s">
        <v>290</v>
      </c>
      <c r="B24" s="3"/>
      <c r="C24" s="3"/>
      <c r="D24" s="3">
        <v>0</v>
      </c>
      <c r="E24" s="3">
        <v>2023</v>
      </c>
      <c r="F24" s="3">
        <v>23</v>
      </c>
      <c r="G24" s="3"/>
      <c r="H24" s="3">
        <v>34</v>
      </c>
      <c r="I24" s="3">
        <v>14</v>
      </c>
      <c r="J24" s="3"/>
      <c r="K24" s="3">
        <v>8</v>
      </c>
      <c r="L24" s="3"/>
      <c r="M24" s="3" t="s">
        <v>280</v>
      </c>
      <c r="N24" s="3">
        <v>5</v>
      </c>
      <c r="O24" s="3" t="s">
        <v>291</v>
      </c>
      <c r="P24" s="3"/>
      <c r="Q24" s="3"/>
      <c r="R24" s="3"/>
      <c r="S24" s="3"/>
      <c r="T24" s="3"/>
      <c r="U24" s="3" t="s">
        <v>292</v>
      </c>
      <c r="V24" s="3" t="s">
        <v>97</v>
      </c>
      <c r="W24" s="3" t="s">
        <v>97</v>
      </c>
      <c r="X24" s="3">
        <v>1</v>
      </c>
      <c r="Y24" s="3"/>
      <c r="Z24" s="3" t="s">
        <v>84</v>
      </c>
      <c r="AA24" s="3" t="s">
        <v>85</v>
      </c>
      <c r="AB24" s="3">
        <v>1</v>
      </c>
      <c r="AC24" s="3" t="s">
        <v>86</v>
      </c>
      <c r="AD24" s="3" t="s">
        <v>87</v>
      </c>
      <c r="AE24" s="3">
        <v>0</v>
      </c>
      <c r="AF24" s="3" t="s">
        <v>249</v>
      </c>
      <c r="AG24" s="3" t="s">
        <v>162</v>
      </c>
      <c r="AH24" s="10">
        <f t="shared" ref="AH24:AH29" si="6">SUM(BC24,BG24,BP24)</f>
        <v>143</v>
      </c>
      <c r="AI24" s="10">
        <f t="shared" ref="AI24:AI29" si="7">SUM(BC24,BG24)</f>
        <v>143</v>
      </c>
      <c r="AJ24" s="3" t="s">
        <v>94</v>
      </c>
      <c r="AK24" s="3">
        <v>1</v>
      </c>
      <c r="AL24" s="3">
        <v>37.700000000000003</v>
      </c>
      <c r="AM24" s="3">
        <v>0.45</v>
      </c>
      <c r="AN24" s="3" t="s">
        <v>108</v>
      </c>
      <c r="AO24" s="3" t="s">
        <v>186</v>
      </c>
      <c r="AP24" s="3" t="s">
        <v>125</v>
      </c>
      <c r="AQ24" s="3"/>
      <c r="AR24" s="3"/>
      <c r="AS24" s="3" t="s">
        <v>92</v>
      </c>
      <c r="AT24" s="3"/>
      <c r="AU24" s="3"/>
      <c r="AV24" s="12">
        <f t="shared" ref="AV24:AV29" si="8">(BD24-AZ24)/(SQRT((BB24^2+BF24^2)/2))</f>
        <v>7.1412177657258387E-3</v>
      </c>
      <c r="AW24" s="3"/>
      <c r="AX24" s="3"/>
      <c r="AY24" s="3"/>
      <c r="AZ24" s="3">
        <v>3.22</v>
      </c>
      <c r="BA24" s="3"/>
      <c r="BB24" s="3">
        <v>1.37</v>
      </c>
      <c r="BC24" s="3">
        <v>78</v>
      </c>
      <c r="BD24" s="3">
        <v>3.23</v>
      </c>
      <c r="BE24" s="3"/>
      <c r="BF24" s="3">
        <v>1.43</v>
      </c>
      <c r="BG24" s="3">
        <v>65</v>
      </c>
      <c r="BH24" s="3"/>
      <c r="BI24" s="3"/>
      <c r="BJ24" s="3"/>
      <c r="BK24" s="3"/>
      <c r="BL24" s="3"/>
      <c r="BM24" s="18" t="s">
        <v>94</v>
      </c>
      <c r="BN24" s="18" t="s">
        <v>94</v>
      </c>
      <c r="BO24" s="18" t="s">
        <v>94</v>
      </c>
      <c r="BP24" s="18" t="s">
        <v>94</v>
      </c>
      <c r="BQ24" s="18"/>
      <c r="BR24" s="18"/>
      <c r="BS24" s="3"/>
      <c r="BT24" s="3"/>
      <c r="BU24" s="3"/>
      <c r="BV24" s="3"/>
      <c r="BW24" s="3"/>
      <c r="BX24" s="3"/>
      <c r="BY24" s="3"/>
      <c r="BZ24" s="3"/>
      <c r="CA24" s="3"/>
      <c r="CB24" s="3"/>
      <c r="CC24" s="3"/>
      <c r="CD24" s="3"/>
      <c r="CE24" s="3"/>
      <c r="CF24" s="3"/>
    </row>
    <row r="25" spans="1:88" ht="14.4" x14ac:dyDescent="0.35">
      <c r="A25" s="3" t="s">
        <v>167</v>
      </c>
      <c r="B25" s="3">
        <v>2</v>
      </c>
      <c r="C25" s="3" t="s">
        <v>168</v>
      </c>
      <c r="D25" s="3">
        <v>0</v>
      </c>
      <c r="E25" s="3">
        <v>2022</v>
      </c>
      <c r="F25" s="3">
        <v>24</v>
      </c>
      <c r="G25" s="3">
        <v>1</v>
      </c>
      <c r="H25" s="3">
        <v>23</v>
      </c>
      <c r="I25" s="3">
        <v>15</v>
      </c>
      <c r="J25" s="3">
        <v>38</v>
      </c>
      <c r="K25" s="3">
        <v>9</v>
      </c>
      <c r="L25" s="3">
        <v>1</v>
      </c>
      <c r="M25" s="3" t="s">
        <v>280</v>
      </c>
      <c r="N25" s="3">
        <v>24</v>
      </c>
      <c r="O25" s="3" t="s">
        <v>169</v>
      </c>
      <c r="P25" s="3"/>
      <c r="Q25" s="3"/>
      <c r="R25" s="3"/>
      <c r="S25" s="3"/>
      <c r="T25" s="3"/>
      <c r="U25" s="3" t="s">
        <v>170</v>
      </c>
      <c r="V25" s="3" t="s">
        <v>82</v>
      </c>
      <c r="W25" s="3" t="s">
        <v>155</v>
      </c>
      <c r="X25" s="3">
        <v>1</v>
      </c>
      <c r="Y25" s="3">
        <v>0</v>
      </c>
      <c r="Z25" s="3" t="s">
        <v>84</v>
      </c>
      <c r="AA25" s="3">
        <v>0</v>
      </c>
      <c r="AB25" s="3" t="s">
        <v>94</v>
      </c>
      <c r="AC25" s="3" t="s">
        <v>86</v>
      </c>
      <c r="AD25" s="3" t="s">
        <v>87</v>
      </c>
      <c r="AE25" s="3">
        <v>0</v>
      </c>
      <c r="AF25" s="3" t="s">
        <v>121</v>
      </c>
      <c r="AG25" s="3" t="s">
        <v>121</v>
      </c>
      <c r="AH25" s="10">
        <f t="shared" si="6"/>
        <v>819</v>
      </c>
      <c r="AI25" s="10">
        <f t="shared" si="7"/>
        <v>545</v>
      </c>
      <c r="AJ25" s="10">
        <f>SUM(BP25,BC25)</f>
        <v>543</v>
      </c>
      <c r="AK25" s="10">
        <v>1</v>
      </c>
      <c r="AL25" s="3" t="s">
        <v>171</v>
      </c>
      <c r="AM25" s="3" t="s">
        <v>172</v>
      </c>
      <c r="AN25" s="3" t="s">
        <v>108</v>
      </c>
      <c r="AO25" s="3" t="s">
        <v>173</v>
      </c>
      <c r="AP25" s="3" t="s">
        <v>125</v>
      </c>
      <c r="AQ25" s="3">
        <v>0</v>
      </c>
      <c r="AR25" s="3">
        <v>0</v>
      </c>
      <c r="AS25" s="3" t="s">
        <v>92</v>
      </c>
      <c r="AT25" s="13" t="s">
        <v>94</v>
      </c>
      <c r="AU25" s="13" t="s">
        <v>94</v>
      </c>
      <c r="AV25" s="12">
        <f t="shared" si="8"/>
        <v>-0.12224160793976387</v>
      </c>
      <c r="AW25" s="12">
        <f>(AZ25-BM25)/(SQRT((BO25^2+BB25^2)/2))</f>
        <v>0.21635090457692238</v>
      </c>
      <c r="AX25" s="12"/>
      <c r="AY25" s="13"/>
      <c r="AZ25" s="3">
        <v>4.6399999999999997</v>
      </c>
      <c r="BA25" s="13"/>
      <c r="BB25" s="3">
        <v>1.1200000000000001</v>
      </c>
      <c r="BC25" s="10">
        <v>269</v>
      </c>
      <c r="BD25" s="3">
        <v>4.5</v>
      </c>
      <c r="BE25" s="13"/>
      <c r="BF25" s="3">
        <v>1.17</v>
      </c>
      <c r="BG25" s="10">
        <v>276</v>
      </c>
      <c r="BH25" s="13"/>
      <c r="BI25" s="10"/>
      <c r="BJ25" s="10"/>
      <c r="BK25" s="10"/>
      <c r="BL25" s="10"/>
      <c r="BM25" s="12">
        <v>4.3899999999999997</v>
      </c>
      <c r="BN25" s="12"/>
      <c r="BO25" s="12">
        <v>1.19</v>
      </c>
      <c r="BP25" s="16">
        <v>274</v>
      </c>
      <c r="BQ25" s="16"/>
      <c r="BR25" s="16"/>
      <c r="BS25" s="3" t="s">
        <v>68</v>
      </c>
      <c r="BT25" s="3" t="s">
        <v>74</v>
      </c>
      <c r="BU25" s="3">
        <v>0</v>
      </c>
      <c r="BV25" s="3">
        <v>0</v>
      </c>
      <c r="BW25" s="3">
        <v>0</v>
      </c>
      <c r="BX25" s="3">
        <v>1</v>
      </c>
      <c r="BY25" s="3">
        <v>0</v>
      </c>
      <c r="BZ25" s="3">
        <v>0</v>
      </c>
      <c r="CA25" s="3">
        <v>0</v>
      </c>
      <c r="CB25" s="3">
        <v>0</v>
      </c>
      <c r="CC25" s="3">
        <v>0</v>
      </c>
      <c r="CD25" s="3">
        <v>1</v>
      </c>
      <c r="CE25" s="3">
        <v>0</v>
      </c>
      <c r="CF25" s="3">
        <v>0</v>
      </c>
      <c r="CH25">
        <v>1</v>
      </c>
      <c r="CI25" s="3">
        <v>0</v>
      </c>
      <c r="CJ25">
        <v>1</v>
      </c>
    </row>
    <row r="26" spans="1:88" ht="14.4" x14ac:dyDescent="0.35">
      <c r="A26" s="3" t="s">
        <v>167</v>
      </c>
      <c r="B26" s="3">
        <v>2</v>
      </c>
      <c r="C26" s="3" t="s">
        <v>168</v>
      </c>
      <c r="D26" s="3">
        <v>0</v>
      </c>
      <c r="E26" s="3">
        <v>2022</v>
      </c>
      <c r="F26" s="3">
        <v>25</v>
      </c>
      <c r="G26" s="3">
        <v>1</v>
      </c>
      <c r="H26" s="3">
        <v>23</v>
      </c>
      <c r="I26" s="3">
        <v>15</v>
      </c>
      <c r="J26" s="3">
        <v>41</v>
      </c>
      <c r="K26" s="3">
        <v>9</v>
      </c>
      <c r="L26" s="3">
        <v>1</v>
      </c>
      <c r="M26" s="3" t="s">
        <v>280</v>
      </c>
      <c r="N26" s="3">
        <v>24</v>
      </c>
      <c r="O26" s="3" t="s">
        <v>169</v>
      </c>
      <c r="P26" s="3"/>
      <c r="Q26" s="3"/>
      <c r="R26" s="3"/>
      <c r="S26" s="3"/>
      <c r="T26" s="3"/>
      <c r="U26" s="3" t="s">
        <v>174</v>
      </c>
      <c r="V26" s="3" t="s">
        <v>82</v>
      </c>
      <c r="W26" s="3" t="s">
        <v>166</v>
      </c>
      <c r="X26" s="3">
        <v>1</v>
      </c>
      <c r="Y26" s="3">
        <v>0</v>
      </c>
      <c r="Z26" s="3" t="s">
        <v>84</v>
      </c>
      <c r="AA26" s="3">
        <v>0</v>
      </c>
      <c r="AB26" s="3" t="s">
        <v>94</v>
      </c>
      <c r="AC26" s="3" t="s">
        <v>86</v>
      </c>
      <c r="AD26" s="3" t="s">
        <v>87</v>
      </c>
      <c r="AE26" s="3">
        <v>0</v>
      </c>
      <c r="AF26" s="3" t="s">
        <v>121</v>
      </c>
      <c r="AG26" s="3" t="s">
        <v>121</v>
      </c>
      <c r="AH26" s="10">
        <f t="shared" si="6"/>
        <v>819</v>
      </c>
      <c r="AI26" s="10">
        <f t="shared" si="7"/>
        <v>545</v>
      </c>
      <c r="AJ26" s="10">
        <f>SUM(BP26,BC26)</f>
        <v>543</v>
      </c>
      <c r="AK26" s="10">
        <v>1</v>
      </c>
      <c r="AL26" s="3" t="s">
        <v>171</v>
      </c>
      <c r="AM26" s="3" t="s">
        <v>172</v>
      </c>
      <c r="AN26" s="3" t="s">
        <v>108</v>
      </c>
      <c r="AO26" s="3" t="s">
        <v>173</v>
      </c>
      <c r="AP26" s="3" t="s">
        <v>125</v>
      </c>
      <c r="AQ26" s="3">
        <v>0</v>
      </c>
      <c r="AR26" s="3">
        <v>0</v>
      </c>
      <c r="AS26" s="3" t="s">
        <v>92</v>
      </c>
      <c r="AT26" s="13" t="s">
        <v>94</v>
      </c>
      <c r="AU26" s="13" t="s">
        <v>94</v>
      </c>
      <c r="AV26" s="12">
        <f t="shared" si="8"/>
        <v>-0.12219205506830776</v>
      </c>
      <c r="AW26" s="12">
        <f>(AZ26-BM26)/(SQRT((BO26^2+BB26^2)/2))</f>
        <v>3.5072729542309534E-2</v>
      </c>
      <c r="AX26" s="12">
        <v>0.26100000000000001</v>
      </c>
      <c r="AY26" s="13"/>
      <c r="AZ26" s="3">
        <v>3.88</v>
      </c>
      <c r="BA26" s="13"/>
      <c r="BB26" s="3">
        <v>0.88</v>
      </c>
      <c r="BC26" s="10">
        <v>269</v>
      </c>
      <c r="BD26" s="3">
        <v>3.77</v>
      </c>
      <c r="BE26" s="13"/>
      <c r="BF26" s="3">
        <v>0.92</v>
      </c>
      <c r="BG26" s="10">
        <v>276</v>
      </c>
      <c r="BH26" s="13"/>
      <c r="BI26" s="10"/>
      <c r="BJ26" s="10"/>
      <c r="BK26" s="10"/>
      <c r="BL26" s="10"/>
      <c r="BM26" s="12">
        <v>3.85</v>
      </c>
      <c r="BN26" s="12"/>
      <c r="BO26" s="12">
        <v>0.83</v>
      </c>
      <c r="BP26" s="16">
        <v>274</v>
      </c>
      <c r="BQ26" s="16"/>
      <c r="BR26" s="16"/>
      <c r="BS26" s="3" t="s">
        <v>68</v>
      </c>
      <c r="BT26" s="3" t="s">
        <v>74</v>
      </c>
      <c r="BU26" s="3">
        <v>0</v>
      </c>
      <c r="BV26" s="3">
        <v>0</v>
      </c>
      <c r="BW26" s="3">
        <v>0</v>
      </c>
      <c r="BX26" s="3">
        <v>1</v>
      </c>
      <c r="BY26" s="3">
        <v>0</v>
      </c>
      <c r="BZ26" s="3">
        <v>0</v>
      </c>
      <c r="CA26" s="3">
        <v>0</v>
      </c>
      <c r="CB26" s="3">
        <v>0</v>
      </c>
      <c r="CC26" s="3">
        <v>0</v>
      </c>
      <c r="CD26" s="3">
        <v>1</v>
      </c>
      <c r="CE26" s="3">
        <v>0</v>
      </c>
      <c r="CF26" s="3">
        <v>0</v>
      </c>
      <c r="CH26">
        <v>1</v>
      </c>
      <c r="CI26" s="3">
        <v>0</v>
      </c>
      <c r="CJ26">
        <v>1</v>
      </c>
    </row>
    <row r="27" spans="1:88" ht="14.4" x14ac:dyDescent="0.35">
      <c r="A27" s="3" t="s">
        <v>167</v>
      </c>
      <c r="B27" s="3">
        <v>2</v>
      </c>
      <c r="C27" s="3" t="s">
        <v>168</v>
      </c>
      <c r="D27" s="3">
        <v>0</v>
      </c>
      <c r="E27" s="3">
        <v>2022</v>
      </c>
      <c r="F27" s="3">
        <v>26</v>
      </c>
      <c r="G27" s="3">
        <v>1</v>
      </c>
      <c r="H27" s="3">
        <v>23</v>
      </c>
      <c r="I27" s="3">
        <v>15</v>
      </c>
      <c r="J27" s="3">
        <v>42</v>
      </c>
      <c r="K27" s="3">
        <v>9</v>
      </c>
      <c r="L27" s="3">
        <v>1</v>
      </c>
      <c r="M27" s="3" t="s">
        <v>280</v>
      </c>
      <c r="N27" s="3">
        <v>24</v>
      </c>
      <c r="O27" s="3" t="s">
        <v>169</v>
      </c>
      <c r="P27" s="3"/>
      <c r="Q27" s="3"/>
      <c r="R27" s="3"/>
      <c r="S27" s="3"/>
      <c r="T27" s="3"/>
      <c r="U27" s="3" t="s">
        <v>175</v>
      </c>
      <c r="V27" s="3" t="s">
        <v>82</v>
      </c>
      <c r="W27" s="3" t="s">
        <v>83</v>
      </c>
      <c r="X27" s="3">
        <v>-1</v>
      </c>
      <c r="Y27" s="3">
        <v>0</v>
      </c>
      <c r="Z27" s="3" t="s">
        <v>84</v>
      </c>
      <c r="AA27" s="3">
        <v>0</v>
      </c>
      <c r="AB27" s="3" t="s">
        <v>94</v>
      </c>
      <c r="AC27" s="3" t="s">
        <v>86</v>
      </c>
      <c r="AD27" s="3" t="s">
        <v>87</v>
      </c>
      <c r="AE27" s="3">
        <v>0</v>
      </c>
      <c r="AF27" s="3" t="s">
        <v>121</v>
      </c>
      <c r="AG27" s="3" t="s">
        <v>121</v>
      </c>
      <c r="AH27" s="10">
        <f t="shared" si="6"/>
        <v>819</v>
      </c>
      <c r="AI27" s="10">
        <f t="shared" si="7"/>
        <v>545</v>
      </c>
      <c r="AJ27" s="10">
        <f>SUM(BP27,BC27)</f>
        <v>543</v>
      </c>
      <c r="AK27" s="10">
        <v>1</v>
      </c>
      <c r="AL27" s="3" t="s">
        <v>171</v>
      </c>
      <c r="AM27" s="3" t="s">
        <v>172</v>
      </c>
      <c r="AN27" s="3" t="s">
        <v>108</v>
      </c>
      <c r="AO27" s="3" t="s">
        <v>173</v>
      </c>
      <c r="AP27" s="3" t="s">
        <v>125</v>
      </c>
      <c r="AQ27" s="3">
        <v>0</v>
      </c>
      <c r="AR27" s="3">
        <v>0</v>
      </c>
      <c r="AS27" s="3" t="s">
        <v>92</v>
      </c>
      <c r="AT27" s="13" t="s">
        <v>94</v>
      </c>
      <c r="AU27" s="13" t="s">
        <v>94</v>
      </c>
      <c r="AV27" s="12">
        <f t="shared" si="8"/>
        <v>-8.9069627981682706E-2</v>
      </c>
      <c r="AW27" s="12">
        <f>(AZ27-BM27)/(SQRT((BO27^2+BB27^2)/2))</f>
        <v>5.3690334697007541E-2</v>
      </c>
      <c r="AX27" s="12">
        <v>0.54800000000000004</v>
      </c>
      <c r="AY27" s="13"/>
      <c r="AZ27" s="3">
        <v>3.68</v>
      </c>
      <c r="BA27" s="13"/>
      <c r="BB27" s="3">
        <v>1.04</v>
      </c>
      <c r="BC27" s="10">
        <v>269</v>
      </c>
      <c r="BD27" s="3">
        <v>3.59</v>
      </c>
      <c r="BE27" s="13"/>
      <c r="BF27" s="3">
        <v>0.98</v>
      </c>
      <c r="BG27" s="10">
        <v>276</v>
      </c>
      <c r="BH27" s="13"/>
      <c r="BI27" s="10"/>
      <c r="BJ27" s="10"/>
      <c r="BK27" s="10"/>
      <c r="BL27" s="10"/>
      <c r="BM27" s="12">
        <v>3.62</v>
      </c>
      <c r="BN27" s="12"/>
      <c r="BO27" s="12">
        <v>1.19</v>
      </c>
      <c r="BP27" s="16">
        <v>274</v>
      </c>
      <c r="BQ27" s="16"/>
      <c r="BR27" s="16"/>
      <c r="BS27" s="3" t="s">
        <v>68</v>
      </c>
      <c r="BT27" s="3" t="s">
        <v>74</v>
      </c>
      <c r="BU27" s="3">
        <v>0</v>
      </c>
      <c r="BV27" s="3">
        <v>0</v>
      </c>
      <c r="BW27" s="3">
        <v>0</v>
      </c>
      <c r="BX27" s="3">
        <v>1</v>
      </c>
      <c r="BY27" s="3">
        <v>0</v>
      </c>
      <c r="BZ27" s="3">
        <v>0</v>
      </c>
      <c r="CA27" s="3">
        <v>0</v>
      </c>
      <c r="CB27" s="3">
        <v>0</v>
      </c>
      <c r="CC27" s="3">
        <v>0</v>
      </c>
      <c r="CD27" s="3">
        <v>1</v>
      </c>
      <c r="CE27" s="3">
        <v>0</v>
      </c>
      <c r="CF27" s="3">
        <v>0</v>
      </c>
      <c r="CH27">
        <v>1</v>
      </c>
      <c r="CI27" s="3">
        <v>0</v>
      </c>
      <c r="CJ27">
        <v>1</v>
      </c>
    </row>
    <row r="28" spans="1:88" s="2" customFormat="1" x14ac:dyDescent="0.35">
      <c r="A28" s="3" t="s">
        <v>167</v>
      </c>
      <c r="B28" s="3">
        <v>2</v>
      </c>
      <c r="C28" s="3" t="s">
        <v>168</v>
      </c>
      <c r="D28" s="3">
        <v>0</v>
      </c>
      <c r="E28" s="3">
        <v>2022</v>
      </c>
      <c r="F28" s="3">
        <v>27</v>
      </c>
      <c r="G28" s="3">
        <v>1</v>
      </c>
      <c r="H28" s="3">
        <v>23</v>
      </c>
      <c r="I28" s="3">
        <v>15</v>
      </c>
      <c r="J28" s="3">
        <v>40</v>
      </c>
      <c r="K28" s="3">
        <v>9</v>
      </c>
      <c r="L28" s="3">
        <v>1</v>
      </c>
      <c r="M28" s="3" t="s">
        <v>280</v>
      </c>
      <c r="N28" s="3">
        <v>24</v>
      </c>
      <c r="O28" s="3" t="s">
        <v>169</v>
      </c>
      <c r="P28" s="3"/>
      <c r="Q28" s="3"/>
      <c r="R28" s="3"/>
      <c r="S28" s="3"/>
      <c r="T28" s="3"/>
      <c r="U28" s="3" t="s">
        <v>176</v>
      </c>
      <c r="V28" s="3" t="s">
        <v>82</v>
      </c>
      <c r="W28" s="3" t="s">
        <v>177</v>
      </c>
      <c r="X28" s="3">
        <v>1</v>
      </c>
      <c r="Y28" s="3">
        <v>0</v>
      </c>
      <c r="Z28" s="3" t="s">
        <v>84</v>
      </c>
      <c r="AA28" s="3">
        <v>0</v>
      </c>
      <c r="AB28" s="3" t="s">
        <v>94</v>
      </c>
      <c r="AC28" s="3" t="s">
        <v>86</v>
      </c>
      <c r="AD28" s="3" t="s">
        <v>87</v>
      </c>
      <c r="AE28" s="3">
        <v>0</v>
      </c>
      <c r="AF28" s="3" t="s">
        <v>121</v>
      </c>
      <c r="AG28" s="3" t="s">
        <v>121</v>
      </c>
      <c r="AH28" s="10">
        <f t="shared" si="6"/>
        <v>819</v>
      </c>
      <c r="AI28" s="10">
        <f t="shared" si="7"/>
        <v>545</v>
      </c>
      <c r="AJ28" s="10">
        <f>SUM(BP28,BC28)</f>
        <v>543</v>
      </c>
      <c r="AK28" s="10">
        <v>1</v>
      </c>
      <c r="AL28" s="3" t="s">
        <v>171</v>
      </c>
      <c r="AM28" s="3" t="s">
        <v>172</v>
      </c>
      <c r="AN28" s="3" t="s">
        <v>108</v>
      </c>
      <c r="AO28" s="3" t="s">
        <v>173</v>
      </c>
      <c r="AP28" s="3" t="s">
        <v>125</v>
      </c>
      <c r="AQ28" s="3">
        <v>0</v>
      </c>
      <c r="AR28" s="3">
        <v>0</v>
      </c>
      <c r="AS28" s="3" t="s">
        <v>92</v>
      </c>
      <c r="AT28" s="13" t="s">
        <v>94</v>
      </c>
      <c r="AU28" s="13" t="s">
        <v>94</v>
      </c>
      <c r="AV28" s="12">
        <f t="shared" si="8"/>
        <v>-8.4660558848439899E-2</v>
      </c>
      <c r="AW28" s="12">
        <f>(AZ28-BM28)/(SQRT((BO28^2+BB28^2)/2))</f>
        <v>0.1518500798728995</v>
      </c>
      <c r="AX28" s="12">
        <v>0.16</v>
      </c>
      <c r="AY28" s="13"/>
      <c r="AZ28" s="3">
        <v>3.95</v>
      </c>
      <c r="BA28" s="13"/>
      <c r="BB28" s="3">
        <v>0.77</v>
      </c>
      <c r="BC28" s="10">
        <v>269</v>
      </c>
      <c r="BD28" s="3">
        <v>3.88</v>
      </c>
      <c r="BE28" s="13"/>
      <c r="BF28" s="3">
        <v>0.88</v>
      </c>
      <c r="BG28" s="10">
        <v>276</v>
      </c>
      <c r="BH28" s="13"/>
      <c r="BI28" s="10"/>
      <c r="BJ28" s="10"/>
      <c r="BK28" s="10"/>
      <c r="BL28" s="10"/>
      <c r="BM28" s="12">
        <v>3.83</v>
      </c>
      <c r="BN28" s="14"/>
      <c r="BO28" s="12">
        <v>0.81</v>
      </c>
      <c r="BP28" s="16">
        <v>274</v>
      </c>
      <c r="BQ28" s="16"/>
      <c r="BR28" s="16"/>
      <c r="BS28" s="3" t="s">
        <v>68</v>
      </c>
      <c r="BT28" s="3" t="s">
        <v>74</v>
      </c>
      <c r="BU28" s="3">
        <v>0</v>
      </c>
      <c r="BV28" s="3">
        <v>0</v>
      </c>
      <c r="BW28" s="3">
        <v>0</v>
      </c>
      <c r="BX28" s="3">
        <v>1</v>
      </c>
      <c r="BY28" s="3">
        <v>0</v>
      </c>
      <c r="BZ28" s="3">
        <v>0</v>
      </c>
      <c r="CA28" s="3">
        <v>0</v>
      </c>
      <c r="CB28" s="3">
        <v>0</v>
      </c>
      <c r="CC28" s="3">
        <v>0</v>
      </c>
      <c r="CD28" s="3">
        <v>1</v>
      </c>
      <c r="CE28" s="3">
        <v>0</v>
      </c>
      <c r="CF28" s="3">
        <v>0</v>
      </c>
      <c r="CG28"/>
      <c r="CH28">
        <v>1</v>
      </c>
      <c r="CI28" s="3">
        <v>0</v>
      </c>
      <c r="CJ28">
        <v>1</v>
      </c>
    </row>
    <row r="29" spans="1:88" x14ac:dyDescent="0.35">
      <c r="A29" s="3" t="s">
        <v>167</v>
      </c>
      <c r="B29" s="3">
        <v>2</v>
      </c>
      <c r="C29" s="3" t="s">
        <v>168</v>
      </c>
      <c r="D29" s="3">
        <v>0</v>
      </c>
      <c r="E29" s="3">
        <v>2022</v>
      </c>
      <c r="F29" s="3">
        <v>28</v>
      </c>
      <c r="G29" s="3">
        <v>1</v>
      </c>
      <c r="H29" s="3">
        <v>23</v>
      </c>
      <c r="I29" s="3">
        <v>15</v>
      </c>
      <c r="J29" s="3">
        <v>39</v>
      </c>
      <c r="K29" s="3">
        <v>9</v>
      </c>
      <c r="L29" s="3">
        <v>1</v>
      </c>
      <c r="M29" s="3" t="s">
        <v>280</v>
      </c>
      <c r="N29" s="3">
        <v>24</v>
      </c>
      <c r="O29" s="3" t="s">
        <v>169</v>
      </c>
      <c r="P29" s="3"/>
      <c r="Q29" s="3"/>
      <c r="R29" s="3"/>
      <c r="S29" s="3"/>
      <c r="T29" s="3"/>
      <c r="U29" s="3" t="s">
        <v>178</v>
      </c>
      <c r="V29" s="3" t="s">
        <v>82</v>
      </c>
      <c r="W29" s="3" t="s">
        <v>83</v>
      </c>
      <c r="X29" s="3">
        <v>1</v>
      </c>
      <c r="Y29" s="3">
        <v>0</v>
      </c>
      <c r="Z29" s="3" t="s">
        <v>84</v>
      </c>
      <c r="AA29" s="3">
        <v>0</v>
      </c>
      <c r="AB29" s="3" t="s">
        <v>94</v>
      </c>
      <c r="AC29" s="3" t="s">
        <v>86</v>
      </c>
      <c r="AD29" s="3" t="s">
        <v>87</v>
      </c>
      <c r="AE29" s="3">
        <v>0</v>
      </c>
      <c r="AF29" s="3" t="s">
        <v>121</v>
      </c>
      <c r="AG29" s="3" t="s">
        <v>121</v>
      </c>
      <c r="AH29" s="10">
        <f t="shared" si="6"/>
        <v>819</v>
      </c>
      <c r="AI29" s="10">
        <f t="shared" si="7"/>
        <v>545</v>
      </c>
      <c r="AJ29" s="10">
        <f>SUM(BP29,BC29)</f>
        <v>543</v>
      </c>
      <c r="AK29" s="10">
        <v>1</v>
      </c>
      <c r="AL29" s="3" t="s">
        <v>171</v>
      </c>
      <c r="AM29" s="3" t="s">
        <v>172</v>
      </c>
      <c r="AN29" s="3" t="s">
        <v>108</v>
      </c>
      <c r="AO29" s="3" t="s">
        <v>173</v>
      </c>
      <c r="AP29" s="3" t="s">
        <v>125</v>
      </c>
      <c r="AQ29" s="3">
        <v>2</v>
      </c>
      <c r="AR29" s="3">
        <v>0</v>
      </c>
      <c r="AS29" s="3" t="s">
        <v>92</v>
      </c>
      <c r="AT29" s="13" t="s">
        <v>94</v>
      </c>
      <c r="AU29" s="13" t="s">
        <v>94</v>
      </c>
      <c r="AV29" s="12">
        <f t="shared" si="8"/>
        <v>-0.19899626908054896</v>
      </c>
      <c r="AW29" s="12">
        <f>(AZ29-BM29)/(SQRT((BO29^2+BB29^2)/2))</f>
        <v>9.3887401698144912E-2</v>
      </c>
      <c r="AX29" s="12">
        <v>2.5999999999999999E-2</v>
      </c>
      <c r="AY29" s="13"/>
      <c r="AZ29" s="3">
        <v>3.54</v>
      </c>
      <c r="BA29" s="13"/>
      <c r="BB29" s="3">
        <v>1.08</v>
      </c>
      <c r="BC29" s="10">
        <v>269</v>
      </c>
      <c r="BD29" s="3">
        <v>3.33</v>
      </c>
      <c r="BE29" s="13"/>
      <c r="BF29" s="3">
        <v>1.03</v>
      </c>
      <c r="BG29" s="10">
        <v>276</v>
      </c>
      <c r="BH29" s="13"/>
      <c r="BI29" s="10"/>
      <c r="BJ29" s="10"/>
      <c r="BK29" s="10"/>
      <c r="BL29" s="10"/>
      <c r="BM29" s="12">
        <v>3.44</v>
      </c>
      <c r="BN29" s="12"/>
      <c r="BO29" s="12">
        <v>1.05</v>
      </c>
      <c r="BP29" s="16">
        <v>274</v>
      </c>
      <c r="BQ29" s="16"/>
      <c r="BR29" s="16"/>
      <c r="BS29" s="3" t="s">
        <v>68</v>
      </c>
      <c r="BT29" s="3" t="s">
        <v>74</v>
      </c>
      <c r="BU29" s="3">
        <v>0</v>
      </c>
      <c r="BV29" s="3">
        <v>0</v>
      </c>
      <c r="BW29" s="3">
        <v>0</v>
      </c>
      <c r="BX29" s="3">
        <v>1</v>
      </c>
      <c r="BY29" s="3">
        <v>0</v>
      </c>
      <c r="BZ29" s="3">
        <v>0</v>
      </c>
      <c r="CA29" s="3">
        <v>0</v>
      </c>
      <c r="CB29" s="3">
        <v>0</v>
      </c>
      <c r="CC29" s="3">
        <v>0</v>
      </c>
      <c r="CD29" s="3">
        <v>1</v>
      </c>
      <c r="CE29" s="3">
        <v>0</v>
      </c>
      <c r="CF29" s="3">
        <v>0</v>
      </c>
      <c r="CH29">
        <v>1</v>
      </c>
      <c r="CI29" s="3">
        <v>0</v>
      </c>
      <c r="CJ29">
        <v>1</v>
      </c>
    </row>
    <row r="30" spans="1:88" x14ac:dyDescent="0.35">
      <c r="A30" s="4" t="s">
        <v>293</v>
      </c>
      <c r="B30" s="4"/>
      <c r="C30" s="4"/>
      <c r="D30" s="4">
        <v>0</v>
      </c>
      <c r="E30" s="4">
        <v>2023</v>
      </c>
      <c r="F30" s="3">
        <v>29</v>
      </c>
      <c r="G30" s="4"/>
      <c r="H30" s="4">
        <v>35</v>
      </c>
      <c r="I30" s="4">
        <v>16</v>
      </c>
      <c r="J30" s="4"/>
      <c r="K30" s="4">
        <v>10</v>
      </c>
      <c r="L30" s="4"/>
      <c r="M30" s="4" t="s">
        <v>278</v>
      </c>
      <c r="N30" s="4">
        <v>31</v>
      </c>
      <c r="O30" s="4" t="s">
        <v>294</v>
      </c>
      <c r="P30" s="4"/>
      <c r="Q30" s="4"/>
      <c r="R30" s="4"/>
      <c r="S30" s="4"/>
      <c r="T30" s="4"/>
      <c r="U30" s="4" t="s">
        <v>296</v>
      </c>
      <c r="V30" s="4" t="s">
        <v>97</v>
      </c>
      <c r="W30" s="4" t="s">
        <v>97</v>
      </c>
      <c r="X30" s="4">
        <v>0</v>
      </c>
      <c r="Y30" s="4"/>
      <c r="Z30" s="4" t="s">
        <v>84</v>
      </c>
      <c r="AA30" s="4" t="s">
        <v>85</v>
      </c>
      <c r="AB30" s="4">
        <v>0</v>
      </c>
      <c r="AC30" s="4" t="s">
        <v>86</v>
      </c>
      <c r="AD30" s="3" t="s">
        <v>87</v>
      </c>
      <c r="AE30" s="4">
        <v>0</v>
      </c>
      <c r="AF30" s="4" t="s">
        <v>305</v>
      </c>
      <c r="AG30" s="4" t="s">
        <v>162</v>
      </c>
      <c r="AH30" s="10">
        <f>SUM(BJ30,BL30,BR30)</f>
        <v>1139.25</v>
      </c>
      <c r="AI30" s="10">
        <f>SUM(BJ30,BL30)</f>
        <v>759.5</v>
      </c>
      <c r="AJ30" s="10">
        <f>SUM(BJ30,BR30)</f>
        <v>759.5</v>
      </c>
      <c r="AK30" s="4">
        <v>0</v>
      </c>
      <c r="AL30" s="4">
        <v>31.74</v>
      </c>
      <c r="AM30" s="4">
        <v>0.59</v>
      </c>
      <c r="AN30" s="4" t="s">
        <v>108</v>
      </c>
      <c r="AO30" s="4" t="s">
        <v>295</v>
      </c>
      <c r="AP30" s="4" t="s">
        <v>125</v>
      </c>
      <c r="AQ30" s="4"/>
      <c r="AR30" s="4"/>
      <c r="AS30" s="4" t="s">
        <v>111</v>
      </c>
      <c r="AT30" s="4"/>
      <c r="AU30" s="4"/>
      <c r="AV30" s="12">
        <f>LN((BK30/(BL30-BK30))/(BI30/(BJ30-BI30)))*(SQRT(3)/PI())</f>
        <v>0.12690988520753607</v>
      </c>
      <c r="AW30" s="12">
        <f>LN((BI30/(BJ30-BI30))/(BQ30/(BR30-BQ30)))*(SQRT(3)/PI())</f>
        <v>0.24400727909728404</v>
      </c>
      <c r="AX30" s="4"/>
      <c r="AY30" s="4"/>
      <c r="AZ30" s="4"/>
      <c r="BA30" s="4"/>
      <c r="BB30" s="4"/>
      <c r="BC30" s="4"/>
      <c r="BD30" s="4"/>
      <c r="BE30" s="4"/>
      <c r="BF30" s="4"/>
      <c r="BG30" s="4"/>
      <c r="BH30" s="4"/>
      <c r="BI30" s="19">
        <f>0.6564*BJ30</f>
        <v>249.2679</v>
      </c>
      <c r="BJ30" s="19">
        <f>1519/4</f>
        <v>379.75</v>
      </c>
      <c r="BK30" s="19">
        <f>0.7063*BL30</f>
        <v>268.21742499999999</v>
      </c>
      <c r="BL30" s="19">
        <f>1519/4</f>
        <v>379.75</v>
      </c>
      <c r="BQ30" s="20">
        <f>0.551*BR30</f>
        <v>209.24225000000001</v>
      </c>
      <c r="BR30" s="20">
        <f>1519/4</f>
        <v>379.75</v>
      </c>
      <c r="BS30" s="4"/>
      <c r="BT30" s="4"/>
      <c r="BU30" s="4"/>
      <c r="BV30" s="4"/>
      <c r="BW30" s="4"/>
      <c r="BX30" s="4"/>
      <c r="BY30" s="4"/>
      <c r="BZ30" s="4"/>
      <c r="CA30" s="4"/>
      <c r="CB30" s="4"/>
      <c r="CC30" s="4"/>
      <c r="CD30" s="4"/>
      <c r="CE30" s="4"/>
      <c r="CF30" s="4"/>
      <c r="CG30" s="7"/>
      <c r="CH30" s="7"/>
      <c r="CI30" s="7"/>
      <c r="CJ30" s="7"/>
    </row>
    <row r="31" spans="1:88" x14ac:dyDescent="0.35">
      <c r="A31" s="4" t="s">
        <v>293</v>
      </c>
      <c r="B31" s="4"/>
      <c r="C31" s="4"/>
      <c r="D31" s="4">
        <v>0</v>
      </c>
      <c r="E31" s="4">
        <v>2023</v>
      </c>
      <c r="F31" s="3">
        <v>30</v>
      </c>
      <c r="G31" s="4"/>
      <c r="H31" s="4">
        <v>35</v>
      </c>
      <c r="I31" s="4">
        <v>16</v>
      </c>
      <c r="J31" s="4"/>
      <c r="K31" s="4">
        <v>10</v>
      </c>
      <c r="L31" s="4"/>
      <c r="M31" s="4" t="s">
        <v>278</v>
      </c>
      <c r="N31" s="4">
        <v>31</v>
      </c>
      <c r="O31" s="4" t="s">
        <v>294</v>
      </c>
      <c r="P31" s="4"/>
      <c r="Q31" s="4"/>
      <c r="R31" s="4"/>
      <c r="S31" s="4"/>
      <c r="T31" s="4"/>
      <c r="U31" s="4" t="s">
        <v>297</v>
      </c>
      <c r="V31" s="4" t="s">
        <v>82</v>
      </c>
      <c r="W31" s="4" t="s">
        <v>177</v>
      </c>
      <c r="X31" s="4">
        <v>1</v>
      </c>
      <c r="Y31" s="4"/>
      <c r="Z31" s="4" t="s">
        <v>84</v>
      </c>
      <c r="AA31" s="4" t="s">
        <v>85</v>
      </c>
      <c r="AB31" s="4">
        <v>0</v>
      </c>
      <c r="AC31" s="4" t="s">
        <v>86</v>
      </c>
      <c r="AD31" s="3" t="s">
        <v>87</v>
      </c>
      <c r="AE31" s="4">
        <v>0</v>
      </c>
      <c r="AF31" s="4" t="s">
        <v>305</v>
      </c>
      <c r="AG31" s="4" t="s">
        <v>162</v>
      </c>
      <c r="AH31" s="10">
        <f>SUM(BC31,BG31,BP31)</f>
        <v>1139.25</v>
      </c>
      <c r="AI31" s="10">
        <f>SUM(BC31,BG31)</f>
        <v>759.5</v>
      </c>
      <c r="AJ31" s="10">
        <f>SUM(BP31,BC31)</f>
        <v>759.5</v>
      </c>
      <c r="AK31" s="4">
        <v>0</v>
      </c>
      <c r="AL31" s="4">
        <v>31.74</v>
      </c>
      <c r="AM31" s="4">
        <v>0.59</v>
      </c>
      <c r="AN31" s="4" t="s">
        <v>108</v>
      </c>
      <c r="AO31" s="4" t="s">
        <v>295</v>
      </c>
      <c r="AP31" s="4" t="s">
        <v>125</v>
      </c>
      <c r="AQ31" s="4"/>
      <c r="AR31" s="4"/>
      <c r="AS31" s="4" t="s">
        <v>92</v>
      </c>
      <c r="AT31" s="4"/>
      <c r="AU31" s="4"/>
      <c r="AV31" s="12">
        <f>(BD31-AZ31)/(SQRT((BB31^2+BF31^2)/2))</f>
        <v>0.20442022872462329</v>
      </c>
      <c r="AW31" s="12">
        <f>(AZ31-BM31)/(SQRT((BO31^2+BB31^2)/2))</f>
        <v>2.5657900289539105E-2</v>
      </c>
      <c r="AX31" s="4"/>
      <c r="AY31" s="4"/>
      <c r="AZ31" s="4">
        <v>3.07</v>
      </c>
      <c r="BA31" s="4">
        <v>0.06</v>
      </c>
      <c r="BB31" s="12">
        <f>(BA31*SQRT(BC31))</f>
        <v>1.1692305161943046</v>
      </c>
      <c r="BC31" s="19">
        <f>1519/4</f>
        <v>379.75</v>
      </c>
      <c r="BD31" s="4">
        <v>3.29</v>
      </c>
      <c r="BE31" s="4">
        <v>0.05</v>
      </c>
      <c r="BF31" s="12">
        <f>(BE31*SQRT(BG31))</f>
        <v>0.97435876349525385</v>
      </c>
      <c r="BG31" s="19">
        <f>1519/4</f>
        <v>379.75</v>
      </c>
      <c r="BH31" s="4"/>
      <c r="BI31" s="19"/>
      <c r="BJ31" s="19"/>
      <c r="BK31" s="19"/>
      <c r="BL31" s="19"/>
      <c r="BM31" s="1">
        <v>3.04</v>
      </c>
      <c r="BN31" s="1">
        <v>0.06</v>
      </c>
      <c r="BO31" s="12">
        <f>(BN31*SQRT(BP31))</f>
        <v>1.1692305161943046</v>
      </c>
      <c r="BP31" s="20">
        <f>1519/4</f>
        <v>379.75</v>
      </c>
      <c r="BQ31" s="1" t="s">
        <v>94</v>
      </c>
      <c r="BR31" s="1" t="s">
        <v>94</v>
      </c>
      <c r="BS31" s="4"/>
      <c r="BT31" s="4"/>
      <c r="BU31" s="4"/>
      <c r="BV31" s="4"/>
      <c r="BW31" s="4"/>
      <c r="BX31" s="4"/>
      <c r="BY31" s="4"/>
      <c r="BZ31" s="4"/>
      <c r="CA31" s="4"/>
      <c r="CB31" s="4"/>
      <c r="CC31" s="4"/>
      <c r="CD31" s="4"/>
      <c r="CE31" s="4"/>
      <c r="CF31" s="4"/>
      <c r="CG31" s="7"/>
      <c r="CH31" s="7"/>
      <c r="CI31" s="7"/>
      <c r="CJ31" s="7"/>
    </row>
    <row r="32" spans="1:88" x14ac:dyDescent="0.35">
      <c r="A32" s="4" t="s">
        <v>293</v>
      </c>
      <c r="B32" s="4"/>
      <c r="C32" s="4"/>
      <c r="D32" s="4">
        <v>0</v>
      </c>
      <c r="E32" s="4">
        <v>2023</v>
      </c>
      <c r="F32" s="3">
        <v>31</v>
      </c>
      <c r="G32" s="4"/>
      <c r="H32" s="4">
        <v>35</v>
      </c>
      <c r="I32" s="4">
        <v>16</v>
      </c>
      <c r="J32" s="4"/>
      <c r="K32" s="4">
        <v>10</v>
      </c>
      <c r="L32" s="4"/>
      <c r="M32" s="4" t="s">
        <v>278</v>
      </c>
      <c r="N32" s="4">
        <v>31</v>
      </c>
      <c r="O32" s="4" t="s">
        <v>294</v>
      </c>
      <c r="P32" s="4"/>
      <c r="Q32" s="4"/>
      <c r="R32" s="4"/>
      <c r="S32" s="4"/>
      <c r="T32" s="4"/>
      <c r="U32" s="4" t="s">
        <v>174</v>
      </c>
      <c r="V32" s="4" t="s">
        <v>82</v>
      </c>
      <c r="W32" s="4" t="s">
        <v>83</v>
      </c>
      <c r="X32" s="4">
        <v>1</v>
      </c>
      <c r="Y32" s="4"/>
      <c r="Z32" s="4" t="s">
        <v>84</v>
      </c>
      <c r="AA32" s="4" t="s">
        <v>85</v>
      </c>
      <c r="AB32" s="4">
        <v>0</v>
      </c>
      <c r="AC32" s="4" t="s">
        <v>86</v>
      </c>
      <c r="AD32" s="3" t="s">
        <v>87</v>
      </c>
      <c r="AE32" s="4">
        <v>0</v>
      </c>
      <c r="AF32" s="4" t="s">
        <v>305</v>
      </c>
      <c r="AG32" s="4" t="s">
        <v>162</v>
      </c>
      <c r="AH32" s="10">
        <f>SUM(BC32,BG32,BP32)</f>
        <v>1139.25</v>
      </c>
      <c r="AI32" s="10">
        <f>SUM(BC32,BG32)</f>
        <v>759.5</v>
      </c>
      <c r="AJ32" s="10">
        <f>SUM(BP32,BC32)</f>
        <v>759.5</v>
      </c>
      <c r="AK32" s="4">
        <v>0</v>
      </c>
      <c r="AL32" s="4">
        <v>31.74</v>
      </c>
      <c r="AM32" s="4">
        <v>0.59</v>
      </c>
      <c r="AN32" s="4" t="s">
        <v>108</v>
      </c>
      <c r="AO32" s="4" t="s">
        <v>295</v>
      </c>
      <c r="AP32" s="4" t="s">
        <v>125</v>
      </c>
      <c r="AQ32" s="4"/>
      <c r="AR32" s="4"/>
      <c r="AS32" s="4" t="s">
        <v>92</v>
      </c>
      <c r="AT32" s="4"/>
      <c r="AU32" s="4"/>
      <c r="AV32" s="12">
        <f>(BD32-AZ32)/(SQRT((BB32^2+BF32^2)/2))</f>
        <v>0.1881579354566211</v>
      </c>
      <c r="AW32" s="12">
        <f>(AZ32-BM32)/(SQRT((BO32^2+BB32^2)/2))</f>
        <v>-5.1315800579078211E-2</v>
      </c>
      <c r="AX32" s="4"/>
      <c r="AY32" s="4"/>
      <c r="AZ32" s="4">
        <v>2.95</v>
      </c>
      <c r="BA32" s="4">
        <v>0.06</v>
      </c>
      <c r="BB32" s="12">
        <f>(BA32*SQRT(BC32))</f>
        <v>1.1692305161943046</v>
      </c>
      <c r="BC32" s="19">
        <f>1519/4</f>
        <v>379.75</v>
      </c>
      <c r="BD32" s="4">
        <v>3.17</v>
      </c>
      <c r="BE32" s="4">
        <v>0.06</v>
      </c>
      <c r="BF32" s="12">
        <f>(BE32*SQRT(BG32))</f>
        <v>1.1692305161943046</v>
      </c>
      <c r="BG32" s="19">
        <f>1519/4</f>
        <v>379.75</v>
      </c>
      <c r="BH32" s="4"/>
      <c r="BI32" s="19"/>
      <c r="BJ32" s="19"/>
      <c r="BK32" s="19"/>
      <c r="BL32" s="19"/>
      <c r="BM32" s="1">
        <v>3.01</v>
      </c>
      <c r="BN32" s="1">
        <v>0.06</v>
      </c>
      <c r="BO32" s="12">
        <f>(BN32*SQRT(BP32))</f>
        <v>1.1692305161943046</v>
      </c>
      <c r="BP32" s="20">
        <f>1519/4</f>
        <v>379.75</v>
      </c>
      <c r="BQ32" s="1" t="s">
        <v>94</v>
      </c>
      <c r="BR32" s="1" t="s">
        <v>94</v>
      </c>
      <c r="BS32" s="4"/>
      <c r="BT32" s="4"/>
      <c r="BU32" s="4"/>
      <c r="BV32" s="4"/>
      <c r="BW32" s="4"/>
      <c r="BX32" s="4"/>
      <c r="BY32" s="4"/>
      <c r="BZ32" s="4"/>
      <c r="CA32" s="4"/>
      <c r="CB32" s="4"/>
      <c r="CC32" s="4"/>
      <c r="CD32" s="4"/>
      <c r="CE32" s="4"/>
      <c r="CF32" s="4"/>
      <c r="CG32" s="7"/>
      <c r="CH32" s="7"/>
      <c r="CI32" s="7"/>
      <c r="CJ32" s="7"/>
    </row>
    <row r="33" spans="1:88" x14ac:dyDescent="0.35">
      <c r="A33" s="4" t="s">
        <v>293</v>
      </c>
      <c r="B33" s="4"/>
      <c r="C33" s="4"/>
      <c r="D33" s="4">
        <v>0</v>
      </c>
      <c r="E33" s="4">
        <v>2023</v>
      </c>
      <c r="F33" s="3">
        <v>32</v>
      </c>
      <c r="G33" s="4"/>
      <c r="H33" s="4">
        <v>35</v>
      </c>
      <c r="I33" s="4">
        <v>16</v>
      </c>
      <c r="J33" s="4"/>
      <c r="K33" s="4">
        <v>10</v>
      </c>
      <c r="L33" s="4"/>
      <c r="M33" s="4" t="s">
        <v>278</v>
      </c>
      <c r="N33" s="4">
        <v>31</v>
      </c>
      <c r="O33" s="4" t="s">
        <v>294</v>
      </c>
      <c r="P33" s="4"/>
      <c r="Q33" s="4"/>
      <c r="R33" s="4"/>
      <c r="S33" s="4"/>
      <c r="T33" s="4"/>
      <c r="U33" s="4" t="s">
        <v>178</v>
      </c>
      <c r="V33" s="4" t="s">
        <v>82</v>
      </c>
      <c r="W33" s="4" t="s">
        <v>83</v>
      </c>
      <c r="X33" s="4">
        <v>1</v>
      </c>
      <c r="Y33" s="4"/>
      <c r="Z33" s="4" t="s">
        <v>84</v>
      </c>
      <c r="AA33" s="4" t="s">
        <v>85</v>
      </c>
      <c r="AB33" s="4">
        <v>0</v>
      </c>
      <c r="AC33" s="4" t="s">
        <v>86</v>
      </c>
      <c r="AD33" s="3" t="s">
        <v>87</v>
      </c>
      <c r="AE33" s="4">
        <v>0</v>
      </c>
      <c r="AF33" s="4" t="s">
        <v>305</v>
      </c>
      <c r="AG33" s="4" t="s">
        <v>162</v>
      </c>
      <c r="AH33" s="10">
        <f>SUM(BC33,BG33,BP33)</f>
        <v>1139.25</v>
      </c>
      <c r="AI33" s="10">
        <f>SUM(BC33,BG33)</f>
        <v>759.5</v>
      </c>
      <c r="AJ33" s="10">
        <f>SUM(BP33,BC33)</f>
        <v>759.5</v>
      </c>
      <c r="AK33" s="4">
        <v>0</v>
      </c>
      <c r="AL33" s="4">
        <v>31.74</v>
      </c>
      <c r="AM33" s="4">
        <v>0.59</v>
      </c>
      <c r="AN33" s="4" t="s">
        <v>108</v>
      </c>
      <c r="AO33" s="4" t="s">
        <v>295</v>
      </c>
      <c r="AP33" s="4" t="s">
        <v>125</v>
      </c>
      <c r="AQ33" s="4"/>
      <c r="AR33" s="4"/>
      <c r="AS33" s="4" t="s">
        <v>92</v>
      </c>
      <c r="AT33" s="4"/>
      <c r="AU33" s="4"/>
      <c r="AV33" s="12">
        <f>(BD33-AZ33)/(SQRT((BB33^2+BF33^2)/2))</f>
        <v>0.11118423458800342</v>
      </c>
      <c r="AW33" s="12">
        <f>(AZ33-BM33)/(SQRT((BO33^2+BB33^2)/2))</f>
        <v>-3.4210533719385726E-2</v>
      </c>
      <c r="AX33" s="4"/>
      <c r="AY33" s="4"/>
      <c r="AZ33" s="4">
        <v>2.7</v>
      </c>
      <c r="BA33" s="4">
        <v>0.06</v>
      </c>
      <c r="BB33" s="12">
        <f>(BA33*SQRT(BC33))</f>
        <v>1.1692305161943046</v>
      </c>
      <c r="BC33" s="19">
        <f>1519/4</f>
        <v>379.75</v>
      </c>
      <c r="BD33" s="4">
        <v>2.83</v>
      </c>
      <c r="BE33" s="4">
        <v>0.06</v>
      </c>
      <c r="BF33" s="12">
        <f>(BE33*SQRT(BG33))</f>
        <v>1.1692305161943046</v>
      </c>
      <c r="BG33" s="19">
        <f>1519/4</f>
        <v>379.75</v>
      </c>
      <c r="BH33" s="4"/>
      <c r="BI33" s="19"/>
      <c r="BJ33" s="19"/>
      <c r="BK33" s="19"/>
      <c r="BL33" s="19"/>
      <c r="BM33" s="1">
        <v>2.74</v>
      </c>
      <c r="BN33" s="1">
        <v>0.06</v>
      </c>
      <c r="BO33" s="12">
        <f>(BN33*SQRT(BP33))</f>
        <v>1.1692305161943046</v>
      </c>
      <c r="BP33" s="20">
        <f>1519/4</f>
        <v>379.75</v>
      </c>
      <c r="BQ33" s="1" t="s">
        <v>94</v>
      </c>
      <c r="BR33" s="1" t="s">
        <v>94</v>
      </c>
      <c r="BS33" s="4"/>
      <c r="BT33" s="4"/>
      <c r="BU33" s="4"/>
      <c r="BV33" s="4"/>
      <c r="BW33" s="4"/>
      <c r="BX33" s="4"/>
      <c r="BY33" s="4"/>
      <c r="BZ33" s="4"/>
      <c r="CA33" s="4"/>
      <c r="CB33" s="4"/>
      <c r="CC33" s="4"/>
      <c r="CD33" s="4"/>
      <c r="CE33" s="4"/>
      <c r="CF33" s="4"/>
      <c r="CG33" s="7"/>
      <c r="CH33" s="7"/>
      <c r="CI33" s="7"/>
      <c r="CJ33" s="7"/>
    </row>
    <row r="34" spans="1:88" x14ac:dyDescent="0.35">
      <c r="A34" s="4" t="s">
        <v>293</v>
      </c>
      <c r="B34" s="4"/>
      <c r="C34" s="4"/>
      <c r="D34" s="4">
        <v>0</v>
      </c>
      <c r="E34" s="4">
        <v>2023</v>
      </c>
      <c r="F34" s="3">
        <v>33</v>
      </c>
      <c r="G34" s="4"/>
      <c r="H34" s="4">
        <v>35</v>
      </c>
      <c r="I34" s="4">
        <v>16</v>
      </c>
      <c r="J34" s="4"/>
      <c r="K34" s="4">
        <v>10</v>
      </c>
      <c r="L34" s="4"/>
      <c r="M34" s="4" t="s">
        <v>278</v>
      </c>
      <c r="N34" s="4">
        <v>31</v>
      </c>
      <c r="O34" s="4" t="s">
        <v>294</v>
      </c>
      <c r="P34" s="4"/>
      <c r="Q34" s="4"/>
      <c r="R34" s="4"/>
      <c r="S34" s="4"/>
      <c r="T34" s="4"/>
      <c r="U34" s="4" t="s">
        <v>175</v>
      </c>
      <c r="V34" s="4" t="s">
        <v>82</v>
      </c>
      <c r="W34" s="4" t="s">
        <v>83</v>
      </c>
      <c r="X34" s="4">
        <v>-1</v>
      </c>
      <c r="Y34" s="4"/>
      <c r="Z34" s="4" t="s">
        <v>84</v>
      </c>
      <c r="AA34" s="4" t="s">
        <v>85</v>
      </c>
      <c r="AB34" s="4">
        <v>0</v>
      </c>
      <c r="AC34" s="4" t="s">
        <v>86</v>
      </c>
      <c r="AD34" s="3" t="s">
        <v>87</v>
      </c>
      <c r="AE34" s="4">
        <v>0</v>
      </c>
      <c r="AF34" s="4" t="s">
        <v>305</v>
      </c>
      <c r="AG34" s="4" t="s">
        <v>162</v>
      </c>
      <c r="AH34" s="10">
        <f>SUM(BC34,BG34,BP34)</f>
        <v>1139.25</v>
      </c>
      <c r="AI34" s="10">
        <f>SUM(BC34,BG34)</f>
        <v>759.5</v>
      </c>
      <c r="AJ34" s="10">
        <f>SUM(BP34,BC34)</f>
        <v>759.5</v>
      </c>
      <c r="AK34" s="4">
        <v>0</v>
      </c>
      <c r="AL34" s="4">
        <v>31.74</v>
      </c>
      <c r="AM34" s="4">
        <v>0.59</v>
      </c>
      <c r="AN34" s="4" t="s">
        <v>108</v>
      </c>
      <c r="AO34" s="4" t="s">
        <v>295</v>
      </c>
      <c r="AP34" s="4" t="s">
        <v>125</v>
      </c>
      <c r="AQ34" s="4"/>
      <c r="AR34" s="4"/>
      <c r="AS34" s="4" t="s">
        <v>92</v>
      </c>
      <c r="AT34" s="4"/>
      <c r="AU34" s="4"/>
      <c r="AV34" s="12">
        <f>(BD34-AZ34)/(SQRT((BB34^2+BF34^2)/2))</f>
        <v>4.6459142891959633E-2</v>
      </c>
      <c r="AW34" s="12">
        <f>(AZ34-BM34)/(SQRT((BO34^2+BB34^2)/2))</f>
        <v>4.6459142891960049E-2</v>
      </c>
      <c r="AX34" s="4"/>
      <c r="AY34" s="4"/>
      <c r="AZ34" s="4">
        <v>2.91</v>
      </c>
      <c r="BA34" s="4">
        <v>0.05</v>
      </c>
      <c r="BB34" s="12">
        <f>(BA34*SQRT(BC34))</f>
        <v>0.97435876349525385</v>
      </c>
      <c r="BC34" s="19">
        <f>1519/4</f>
        <v>379.75</v>
      </c>
      <c r="BD34" s="4">
        <v>2.96</v>
      </c>
      <c r="BE34" s="4">
        <v>0.06</v>
      </c>
      <c r="BF34" s="12">
        <f>(BE34*SQRT(BG34))</f>
        <v>1.1692305161943046</v>
      </c>
      <c r="BG34" s="19">
        <f>1519/4</f>
        <v>379.75</v>
      </c>
      <c r="BH34" s="4"/>
      <c r="BI34" s="19"/>
      <c r="BJ34" s="19"/>
      <c r="BK34" s="19"/>
      <c r="BL34" s="19"/>
      <c r="BM34" s="1">
        <v>2.86</v>
      </c>
      <c r="BN34" s="1">
        <v>0.06</v>
      </c>
      <c r="BO34" s="12">
        <f>(BN34*SQRT(BP34))</f>
        <v>1.1692305161943046</v>
      </c>
      <c r="BP34" s="20">
        <f>1519/4</f>
        <v>379.75</v>
      </c>
      <c r="BQ34" s="1" t="s">
        <v>94</v>
      </c>
      <c r="BR34" s="1" t="s">
        <v>94</v>
      </c>
      <c r="BS34" s="4"/>
      <c r="BT34" s="4"/>
      <c r="BU34" s="4"/>
      <c r="BV34" s="4"/>
      <c r="BW34" s="4"/>
      <c r="BX34" s="4"/>
      <c r="BY34" s="4"/>
      <c r="BZ34" s="4"/>
      <c r="CA34" s="4"/>
      <c r="CB34" s="4"/>
      <c r="CC34" s="4"/>
      <c r="CD34" s="4"/>
      <c r="CE34" s="4"/>
      <c r="CF34" s="4"/>
      <c r="CG34" s="7"/>
      <c r="CH34" s="7"/>
      <c r="CI34" s="7"/>
      <c r="CJ34" s="7"/>
    </row>
    <row r="35" spans="1:88" x14ac:dyDescent="0.35">
      <c r="A35" s="3" t="s">
        <v>180</v>
      </c>
      <c r="B35" s="3">
        <v>1</v>
      </c>
      <c r="C35" s="3" t="s">
        <v>181</v>
      </c>
      <c r="D35" s="3">
        <v>1</v>
      </c>
      <c r="E35" s="3">
        <v>2020</v>
      </c>
      <c r="F35" s="3">
        <v>34</v>
      </c>
      <c r="G35" s="3">
        <v>1</v>
      </c>
      <c r="H35" s="3">
        <v>26</v>
      </c>
      <c r="I35" s="3">
        <v>17</v>
      </c>
      <c r="J35" s="3">
        <v>57</v>
      </c>
      <c r="K35" s="3">
        <v>11</v>
      </c>
      <c r="L35" s="3">
        <v>2</v>
      </c>
      <c r="M35" s="3" t="s">
        <v>278</v>
      </c>
      <c r="N35" s="3">
        <v>27</v>
      </c>
      <c r="O35" s="3" t="s">
        <v>182</v>
      </c>
      <c r="P35" s="3"/>
      <c r="Q35" s="3"/>
      <c r="R35" s="3"/>
      <c r="S35" s="3"/>
      <c r="T35" s="3"/>
      <c r="U35" s="3" t="s">
        <v>183</v>
      </c>
      <c r="V35" s="3" t="s">
        <v>82</v>
      </c>
      <c r="W35" s="3" t="s">
        <v>166</v>
      </c>
      <c r="X35" s="3">
        <v>0</v>
      </c>
      <c r="Y35" s="3">
        <v>0</v>
      </c>
      <c r="Z35" s="3" t="s">
        <v>84</v>
      </c>
      <c r="AA35" s="3" t="s">
        <v>85</v>
      </c>
      <c r="AB35" s="3" t="s">
        <v>94</v>
      </c>
      <c r="AC35" s="3" t="s">
        <v>86</v>
      </c>
      <c r="AD35" s="3" t="s">
        <v>87</v>
      </c>
      <c r="AE35" s="3">
        <v>0</v>
      </c>
      <c r="AF35" s="3" t="s">
        <v>135</v>
      </c>
      <c r="AG35" s="3" t="s">
        <v>136</v>
      </c>
      <c r="AH35" s="10">
        <f>SUM(BJ35,BL35,BR35)</f>
        <v>289</v>
      </c>
      <c r="AI35" s="10">
        <f>SUM(BJ35,BL35)</f>
        <v>289</v>
      </c>
      <c r="AJ35" s="10" t="s">
        <v>94</v>
      </c>
      <c r="AK35" s="10">
        <v>1</v>
      </c>
      <c r="AL35" s="3" t="s">
        <v>184</v>
      </c>
      <c r="AM35" s="3" t="s">
        <v>185</v>
      </c>
      <c r="AN35" s="3" t="s">
        <v>108</v>
      </c>
      <c r="AO35" s="3" t="s">
        <v>186</v>
      </c>
      <c r="AP35" s="3" t="s">
        <v>125</v>
      </c>
      <c r="AQ35" s="3">
        <v>0</v>
      </c>
      <c r="AR35" s="3">
        <v>1</v>
      </c>
      <c r="AS35" s="3" t="s">
        <v>111</v>
      </c>
      <c r="AT35" s="13" t="s">
        <v>94</v>
      </c>
      <c r="AU35" s="13" t="s">
        <v>94</v>
      </c>
      <c r="AV35" s="12">
        <f>LN((BK35/(BL35-BK35))/(BI35/(BJ35-BI35)))*(SQRT(3)/PI())</f>
        <v>-8.8829752794282291E-2</v>
      </c>
      <c r="AW35" s="12" t="s">
        <v>94</v>
      </c>
      <c r="AX35" s="12"/>
      <c r="AY35" s="13"/>
      <c r="AZ35" s="13"/>
      <c r="BA35" s="13"/>
      <c r="BB35" s="13"/>
      <c r="BC35" s="10"/>
      <c r="BD35" s="13"/>
      <c r="BE35" s="13"/>
      <c r="BF35" s="13"/>
      <c r="BG35" s="10"/>
      <c r="BH35" s="13"/>
      <c r="BI35" s="16">
        <f>0.56*BJ35</f>
        <v>85.68</v>
      </c>
      <c r="BJ35" s="16">
        <v>153</v>
      </c>
      <c r="BK35" s="16">
        <f>0.52*BL35</f>
        <v>70.72</v>
      </c>
      <c r="BL35" s="16">
        <v>136</v>
      </c>
      <c r="BM35" s="12" t="s">
        <v>94</v>
      </c>
      <c r="BN35" s="12" t="s">
        <v>94</v>
      </c>
      <c r="BO35" s="12" t="s">
        <v>94</v>
      </c>
      <c r="BP35" s="16" t="s">
        <v>94</v>
      </c>
      <c r="BQ35" s="16" t="s">
        <v>94</v>
      </c>
      <c r="BR35" s="16" t="s">
        <v>94</v>
      </c>
      <c r="BS35" s="3" t="s">
        <v>74</v>
      </c>
      <c r="BT35" s="3">
        <v>0</v>
      </c>
      <c r="BU35" s="3">
        <v>0</v>
      </c>
      <c r="BV35" s="3">
        <v>0</v>
      </c>
      <c r="BW35" s="3">
        <v>0</v>
      </c>
      <c r="BX35" s="3">
        <v>0</v>
      </c>
      <c r="BY35" s="3">
        <v>0</v>
      </c>
      <c r="BZ35" s="3">
        <v>0</v>
      </c>
      <c r="CA35" s="3">
        <v>0</v>
      </c>
      <c r="CB35" s="3">
        <v>0</v>
      </c>
      <c r="CC35" s="3">
        <v>0</v>
      </c>
      <c r="CD35" s="3">
        <v>1</v>
      </c>
      <c r="CE35" s="3">
        <v>0</v>
      </c>
      <c r="CF35" s="3">
        <v>0</v>
      </c>
      <c r="CH35">
        <v>1</v>
      </c>
      <c r="CI35" s="3">
        <v>0</v>
      </c>
      <c r="CJ35">
        <v>0</v>
      </c>
    </row>
    <row r="36" spans="1:88" x14ac:dyDescent="0.35">
      <c r="A36" s="3" t="s">
        <v>180</v>
      </c>
      <c r="B36" s="3">
        <v>1</v>
      </c>
      <c r="C36" s="3" t="s">
        <v>181</v>
      </c>
      <c r="D36" s="3">
        <v>1</v>
      </c>
      <c r="E36" s="3">
        <v>2020</v>
      </c>
      <c r="F36" s="3">
        <v>35</v>
      </c>
      <c r="G36" s="3">
        <v>1</v>
      </c>
      <c r="H36" s="3">
        <v>26</v>
      </c>
      <c r="I36" s="3">
        <v>17</v>
      </c>
      <c r="J36" s="3">
        <v>52</v>
      </c>
      <c r="K36" s="3">
        <v>11</v>
      </c>
      <c r="L36" s="3">
        <v>2</v>
      </c>
      <c r="M36" s="3" t="s">
        <v>278</v>
      </c>
      <c r="N36" s="3">
        <v>27</v>
      </c>
      <c r="O36" s="3" t="s">
        <v>182</v>
      </c>
      <c r="P36" s="3"/>
      <c r="Q36" s="3"/>
      <c r="R36" s="3"/>
      <c r="S36" s="3"/>
      <c r="T36" s="3"/>
      <c r="U36" s="3" t="s">
        <v>190</v>
      </c>
      <c r="V36" s="3" t="s">
        <v>82</v>
      </c>
      <c r="W36" s="3" t="s">
        <v>166</v>
      </c>
      <c r="X36" s="3">
        <v>1</v>
      </c>
      <c r="Y36" s="3">
        <v>0</v>
      </c>
      <c r="Z36" s="3" t="s">
        <v>84</v>
      </c>
      <c r="AA36" s="3" t="s">
        <v>85</v>
      </c>
      <c r="AB36" s="3" t="s">
        <v>94</v>
      </c>
      <c r="AC36" s="3" t="s">
        <v>86</v>
      </c>
      <c r="AD36" s="3" t="s">
        <v>87</v>
      </c>
      <c r="AE36" s="3">
        <v>0</v>
      </c>
      <c r="AF36" s="3" t="s">
        <v>135</v>
      </c>
      <c r="AG36" s="3" t="s">
        <v>136</v>
      </c>
      <c r="AH36" s="10">
        <f>SUM(BC36,BG36,BP36)</f>
        <v>289</v>
      </c>
      <c r="AI36" s="10">
        <f>SUM(BC36,BG36)</f>
        <v>289</v>
      </c>
      <c r="AJ36" s="10" t="s">
        <v>94</v>
      </c>
      <c r="AK36" s="10">
        <v>1</v>
      </c>
      <c r="AL36" s="3" t="s">
        <v>184</v>
      </c>
      <c r="AM36" s="3" t="s">
        <v>185</v>
      </c>
      <c r="AN36" s="3" t="s">
        <v>108</v>
      </c>
      <c r="AO36" s="3" t="s">
        <v>186</v>
      </c>
      <c r="AP36" s="3" t="s">
        <v>125</v>
      </c>
      <c r="AQ36" s="3">
        <v>0</v>
      </c>
      <c r="AR36" s="3">
        <v>0</v>
      </c>
      <c r="AS36" s="3" t="s">
        <v>92</v>
      </c>
      <c r="AT36" s="13" t="s">
        <v>94</v>
      </c>
      <c r="AU36" s="13" t="s">
        <v>94</v>
      </c>
      <c r="AV36" s="12">
        <f>(BD36-AZ36)/(SQRT((BB36^2+BF36^2)/2))</f>
        <v>4.0094702610301527E-2</v>
      </c>
      <c r="AW36" s="12" t="s">
        <v>94</v>
      </c>
      <c r="AX36" s="12">
        <v>0.70899999999999996</v>
      </c>
      <c r="AY36" s="13"/>
      <c r="AZ36" s="3">
        <v>4.5599999999999996</v>
      </c>
      <c r="BA36" s="13"/>
      <c r="BB36" s="3">
        <v>1.69</v>
      </c>
      <c r="BC36" s="10">
        <v>153</v>
      </c>
      <c r="BD36" s="3">
        <v>4.63</v>
      </c>
      <c r="BE36" s="13"/>
      <c r="BF36" s="3">
        <v>1.8</v>
      </c>
      <c r="BG36" s="10">
        <v>136</v>
      </c>
      <c r="BH36" s="13"/>
      <c r="BI36" s="10"/>
      <c r="BJ36" s="10"/>
      <c r="BK36" s="10"/>
      <c r="BL36" s="10"/>
      <c r="BM36" s="12" t="s">
        <v>94</v>
      </c>
      <c r="BN36" s="12" t="s">
        <v>94</v>
      </c>
      <c r="BO36" s="12" t="s">
        <v>94</v>
      </c>
      <c r="BP36" s="16" t="s">
        <v>94</v>
      </c>
      <c r="BQ36" s="16" t="s">
        <v>94</v>
      </c>
      <c r="BR36" s="16" t="s">
        <v>94</v>
      </c>
      <c r="BS36" s="3" t="s">
        <v>74</v>
      </c>
      <c r="BT36" s="3">
        <v>0</v>
      </c>
      <c r="BU36" s="3">
        <v>0</v>
      </c>
      <c r="BV36" s="3">
        <v>0</v>
      </c>
      <c r="BW36" s="3">
        <v>0</v>
      </c>
      <c r="BX36" s="3">
        <v>0</v>
      </c>
      <c r="BY36" s="3">
        <v>0</v>
      </c>
      <c r="BZ36" s="3">
        <v>0</v>
      </c>
      <c r="CA36" s="3">
        <v>0</v>
      </c>
      <c r="CB36" s="3">
        <v>0</v>
      </c>
      <c r="CC36" s="3">
        <v>0</v>
      </c>
      <c r="CD36" s="3">
        <v>1</v>
      </c>
      <c r="CE36" s="3">
        <v>0</v>
      </c>
      <c r="CF36" s="3">
        <v>0</v>
      </c>
      <c r="CH36">
        <v>1</v>
      </c>
      <c r="CI36" s="3">
        <v>0</v>
      </c>
      <c r="CJ36">
        <v>0</v>
      </c>
    </row>
    <row r="37" spans="1:88" x14ac:dyDescent="0.35">
      <c r="A37" s="3" t="s">
        <v>180</v>
      </c>
      <c r="B37" s="3">
        <v>1</v>
      </c>
      <c r="C37" s="3" t="s">
        <v>181</v>
      </c>
      <c r="D37" s="3">
        <v>1</v>
      </c>
      <c r="E37" s="3">
        <v>2020</v>
      </c>
      <c r="F37" s="3">
        <v>36</v>
      </c>
      <c r="G37" s="3">
        <v>1</v>
      </c>
      <c r="H37" s="3">
        <v>26</v>
      </c>
      <c r="I37" s="3">
        <v>17</v>
      </c>
      <c r="J37" s="3">
        <v>55</v>
      </c>
      <c r="K37" s="3">
        <v>11</v>
      </c>
      <c r="L37" s="3">
        <v>2</v>
      </c>
      <c r="M37" s="3" t="s">
        <v>278</v>
      </c>
      <c r="N37" s="3">
        <v>27</v>
      </c>
      <c r="O37" s="3" t="s">
        <v>182</v>
      </c>
      <c r="P37" s="3"/>
      <c r="Q37" s="3"/>
      <c r="R37" s="3"/>
      <c r="S37" s="3"/>
      <c r="T37" s="3"/>
      <c r="U37" s="3" t="s">
        <v>191</v>
      </c>
      <c r="V37" s="3" t="s">
        <v>82</v>
      </c>
      <c r="W37" s="3" t="s">
        <v>166</v>
      </c>
      <c r="X37" s="3">
        <v>1</v>
      </c>
      <c r="Y37" s="3">
        <v>0</v>
      </c>
      <c r="Z37" s="3" t="s">
        <v>84</v>
      </c>
      <c r="AA37" s="3" t="s">
        <v>85</v>
      </c>
      <c r="AB37" s="3" t="s">
        <v>94</v>
      </c>
      <c r="AC37" s="3" t="s">
        <v>86</v>
      </c>
      <c r="AD37" s="3" t="s">
        <v>87</v>
      </c>
      <c r="AE37" s="3">
        <v>0</v>
      </c>
      <c r="AF37" s="3" t="s">
        <v>135</v>
      </c>
      <c r="AG37" s="3" t="s">
        <v>136</v>
      </c>
      <c r="AH37" s="10">
        <f>SUM(BC37,BG37,BP37)</f>
        <v>289</v>
      </c>
      <c r="AI37" s="10">
        <f>SUM(BC37,BG37)</f>
        <v>289</v>
      </c>
      <c r="AJ37" s="10" t="s">
        <v>94</v>
      </c>
      <c r="AK37" s="10">
        <v>1</v>
      </c>
      <c r="AL37" s="3" t="s">
        <v>184</v>
      </c>
      <c r="AM37" s="3" t="s">
        <v>185</v>
      </c>
      <c r="AN37" s="3" t="s">
        <v>108</v>
      </c>
      <c r="AO37" s="3" t="s">
        <v>186</v>
      </c>
      <c r="AP37" s="3" t="s">
        <v>125</v>
      </c>
      <c r="AQ37" s="3">
        <v>0</v>
      </c>
      <c r="AR37" s="3">
        <v>1</v>
      </c>
      <c r="AS37" s="3" t="s">
        <v>92</v>
      </c>
      <c r="AT37" s="13" t="s">
        <v>94</v>
      </c>
      <c r="AU37" s="13" t="s">
        <v>94</v>
      </c>
      <c r="AV37" s="12">
        <f>(BD37-AZ37)/(SQRT((BB37^2+BF37^2)/2))</f>
        <v>6.6273060795483091E-2</v>
      </c>
      <c r="AW37" s="12" t="s">
        <v>94</v>
      </c>
      <c r="AX37" s="12"/>
      <c r="AY37" s="13"/>
      <c r="AZ37" s="3">
        <v>4.6900000000000004</v>
      </c>
      <c r="BA37" s="13"/>
      <c r="BB37" s="3">
        <v>1.76</v>
      </c>
      <c r="BC37" s="10">
        <v>153</v>
      </c>
      <c r="BD37" s="3">
        <v>4.8099999999999996</v>
      </c>
      <c r="BE37" s="13"/>
      <c r="BF37" s="3">
        <v>1.86</v>
      </c>
      <c r="BG37" s="10">
        <v>136</v>
      </c>
      <c r="BH37" s="13"/>
      <c r="BI37" s="10"/>
      <c r="BJ37" s="10"/>
      <c r="BK37" s="10"/>
      <c r="BL37" s="10"/>
      <c r="BM37" s="12" t="s">
        <v>94</v>
      </c>
      <c r="BN37" s="12" t="s">
        <v>94</v>
      </c>
      <c r="BO37" s="12" t="s">
        <v>94</v>
      </c>
      <c r="BP37" s="16" t="s">
        <v>94</v>
      </c>
      <c r="BQ37" s="16" t="s">
        <v>94</v>
      </c>
      <c r="BR37" s="16" t="s">
        <v>94</v>
      </c>
      <c r="BS37" s="3" t="s">
        <v>74</v>
      </c>
      <c r="BT37" s="3">
        <v>0</v>
      </c>
      <c r="BU37" s="3">
        <v>0</v>
      </c>
      <c r="BV37" s="3">
        <v>0</v>
      </c>
      <c r="BW37" s="3">
        <v>0</v>
      </c>
      <c r="BX37" s="3">
        <v>0</v>
      </c>
      <c r="BY37" s="3">
        <v>0</v>
      </c>
      <c r="BZ37" s="3">
        <v>0</v>
      </c>
      <c r="CA37" s="3">
        <v>0</v>
      </c>
      <c r="CB37" s="3">
        <v>0</v>
      </c>
      <c r="CC37" s="3">
        <v>0</v>
      </c>
      <c r="CD37" s="3">
        <v>1</v>
      </c>
      <c r="CE37" s="3">
        <v>0</v>
      </c>
      <c r="CF37" s="3">
        <v>0</v>
      </c>
      <c r="CH37">
        <v>1</v>
      </c>
      <c r="CI37" s="3">
        <v>0</v>
      </c>
      <c r="CJ37">
        <v>0</v>
      </c>
    </row>
    <row r="38" spans="1:88" x14ac:dyDescent="0.35">
      <c r="A38" s="3" t="s">
        <v>180</v>
      </c>
      <c r="B38" s="3">
        <v>1</v>
      </c>
      <c r="C38" s="3" t="s">
        <v>181</v>
      </c>
      <c r="D38" s="3">
        <v>1</v>
      </c>
      <c r="E38" s="3">
        <v>2020</v>
      </c>
      <c r="F38" s="3">
        <v>37</v>
      </c>
      <c r="G38" s="3">
        <v>1</v>
      </c>
      <c r="H38" s="3">
        <v>26</v>
      </c>
      <c r="I38" s="3">
        <v>17</v>
      </c>
      <c r="J38" s="3">
        <v>56</v>
      </c>
      <c r="K38" s="3">
        <v>11</v>
      </c>
      <c r="L38" s="3">
        <v>2</v>
      </c>
      <c r="M38" s="3" t="s">
        <v>278</v>
      </c>
      <c r="N38" s="3">
        <v>27</v>
      </c>
      <c r="O38" s="3" t="s">
        <v>182</v>
      </c>
      <c r="P38" s="3"/>
      <c r="Q38" s="3"/>
      <c r="R38" s="3"/>
      <c r="S38" s="3"/>
      <c r="T38" s="3"/>
      <c r="U38" s="3" t="s">
        <v>193</v>
      </c>
      <c r="V38" s="3" t="s">
        <v>82</v>
      </c>
      <c r="W38" s="3" t="s">
        <v>166</v>
      </c>
      <c r="X38" s="3">
        <v>1</v>
      </c>
      <c r="Y38" s="3">
        <v>0</v>
      </c>
      <c r="Z38" s="3" t="s">
        <v>84</v>
      </c>
      <c r="AA38" s="3" t="s">
        <v>85</v>
      </c>
      <c r="AB38" s="3" t="s">
        <v>94</v>
      </c>
      <c r="AC38" s="3" t="s">
        <v>86</v>
      </c>
      <c r="AD38" s="3" t="s">
        <v>87</v>
      </c>
      <c r="AE38" s="3">
        <v>0</v>
      </c>
      <c r="AF38" s="3" t="s">
        <v>135</v>
      </c>
      <c r="AG38" s="3" t="s">
        <v>136</v>
      </c>
      <c r="AH38" s="10">
        <f>SUM(BC38,BG38,BP38)</f>
        <v>289</v>
      </c>
      <c r="AI38" s="10">
        <f>SUM(BC38,BG38)</f>
        <v>289</v>
      </c>
      <c r="AJ38" s="10" t="s">
        <v>94</v>
      </c>
      <c r="AK38" s="10">
        <v>1</v>
      </c>
      <c r="AL38" s="3" t="s">
        <v>184</v>
      </c>
      <c r="AM38" s="3" t="s">
        <v>185</v>
      </c>
      <c r="AN38" s="3" t="s">
        <v>108</v>
      </c>
      <c r="AO38" s="3" t="s">
        <v>186</v>
      </c>
      <c r="AP38" s="3" t="s">
        <v>125</v>
      </c>
      <c r="AQ38" s="3">
        <v>0</v>
      </c>
      <c r="AR38" s="3">
        <v>1</v>
      </c>
      <c r="AS38" s="3" t="s">
        <v>92</v>
      </c>
      <c r="AT38" s="13" t="s">
        <v>94</v>
      </c>
      <c r="AU38" s="13" t="s">
        <v>94</v>
      </c>
      <c r="AV38" s="12">
        <f>(BD38-AZ38)/(SQRT((BB38^2+BF38^2)/2))</f>
        <v>0.10000000000000009</v>
      </c>
      <c r="AW38" s="12" t="s">
        <v>94</v>
      </c>
      <c r="AX38" s="12"/>
      <c r="AY38" s="13"/>
      <c r="AZ38" s="3">
        <v>4.76</v>
      </c>
      <c r="BA38" s="13"/>
      <c r="BB38" s="3">
        <v>1.6</v>
      </c>
      <c r="BC38" s="10">
        <v>153</v>
      </c>
      <c r="BD38" s="3">
        <v>4.92</v>
      </c>
      <c r="BE38" s="13"/>
      <c r="BF38" s="3">
        <v>1.6</v>
      </c>
      <c r="BG38" s="10">
        <v>136</v>
      </c>
      <c r="BH38" s="13"/>
      <c r="BI38" s="10"/>
      <c r="BJ38" s="10"/>
      <c r="BK38" s="10"/>
      <c r="BL38" s="10"/>
      <c r="BM38" s="12" t="s">
        <v>94</v>
      </c>
      <c r="BN38" s="12" t="s">
        <v>94</v>
      </c>
      <c r="BO38" s="12" t="s">
        <v>94</v>
      </c>
      <c r="BP38" s="16" t="s">
        <v>94</v>
      </c>
      <c r="BQ38" s="16" t="s">
        <v>94</v>
      </c>
      <c r="BR38" s="16" t="s">
        <v>94</v>
      </c>
      <c r="BS38" s="3" t="s">
        <v>74</v>
      </c>
      <c r="BT38" s="3">
        <v>0</v>
      </c>
      <c r="BU38" s="3">
        <v>0</v>
      </c>
      <c r="BV38" s="3">
        <v>0</v>
      </c>
      <c r="BW38" s="3">
        <v>0</v>
      </c>
      <c r="BX38" s="3">
        <v>0</v>
      </c>
      <c r="BY38" s="3">
        <v>0</v>
      </c>
      <c r="BZ38" s="3">
        <v>0</v>
      </c>
      <c r="CA38" s="3">
        <v>0</v>
      </c>
      <c r="CB38" s="3">
        <v>0</v>
      </c>
      <c r="CC38" s="3">
        <v>0</v>
      </c>
      <c r="CD38" s="3">
        <v>1</v>
      </c>
      <c r="CE38" s="3">
        <v>0</v>
      </c>
      <c r="CF38" s="3">
        <v>0</v>
      </c>
      <c r="CH38">
        <v>1</v>
      </c>
      <c r="CI38" s="3">
        <v>0</v>
      </c>
      <c r="CJ38">
        <v>0</v>
      </c>
    </row>
    <row r="39" spans="1:88" ht="14.5" customHeight="1" x14ac:dyDescent="0.35">
      <c r="A39" s="3" t="s">
        <v>180</v>
      </c>
      <c r="B39" s="3">
        <v>1</v>
      </c>
      <c r="C39" s="3" t="s">
        <v>181</v>
      </c>
      <c r="D39" s="3">
        <v>1</v>
      </c>
      <c r="E39" s="3">
        <v>2020</v>
      </c>
      <c r="F39" s="3">
        <v>38</v>
      </c>
      <c r="G39" s="3">
        <v>1</v>
      </c>
      <c r="H39" s="3">
        <v>26</v>
      </c>
      <c r="I39" s="3">
        <v>17</v>
      </c>
      <c r="J39" s="3">
        <v>54</v>
      </c>
      <c r="K39" s="3">
        <v>11</v>
      </c>
      <c r="L39" s="3">
        <v>2</v>
      </c>
      <c r="M39" s="3" t="s">
        <v>278</v>
      </c>
      <c r="N39" s="3">
        <v>27</v>
      </c>
      <c r="O39" s="3" t="s">
        <v>182</v>
      </c>
      <c r="P39" s="3"/>
      <c r="Q39" s="3"/>
      <c r="R39" s="3"/>
      <c r="S39" s="3"/>
      <c r="T39" s="3"/>
      <c r="U39" s="3" t="s">
        <v>195</v>
      </c>
      <c r="V39" s="3" t="s">
        <v>82</v>
      </c>
      <c r="W39" s="3" t="s">
        <v>166</v>
      </c>
      <c r="X39" s="3">
        <v>0</v>
      </c>
      <c r="Y39" s="3">
        <v>0</v>
      </c>
      <c r="Z39" s="3" t="s">
        <v>84</v>
      </c>
      <c r="AA39" s="3" t="s">
        <v>85</v>
      </c>
      <c r="AB39" s="3" t="s">
        <v>94</v>
      </c>
      <c r="AC39" s="3" t="s">
        <v>86</v>
      </c>
      <c r="AD39" s="3" t="s">
        <v>87</v>
      </c>
      <c r="AE39" s="3">
        <v>0</v>
      </c>
      <c r="AF39" s="3" t="s">
        <v>135</v>
      </c>
      <c r="AG39" s="3" t="s">
        <v>136</v>
      </c>
      <c r="AH39" s="10">
        <f>SUM(BC39,BG39,BP39)</f>
        <v>289</v>
      </c>
      <c r="AI39" s="10">
        <f>SUM(BC39,BG39)</f>
        <v>289</v>
      </c>
      <c r="AJ39" s="10" t="s">
        <v>94</v>
      </c>
      <c r="AK39" s="10">
        <v>1</v>
      </c>
      <c r="AL39" s="3" t="s">
        <v>184</v>
      </c>
      <c r="AM39" s="3" t="s">
        <v>185</v>
      </c>
      <c r="AN39" s="3" t="s">
        <v>108</v>
      </c>
      <c r="AO39" s="3" t="s">
        <v>186</v>
      </c>
      <c r="AP39" s="3" t="s">
        <v>125</v>
      </c>
      <c r="AQ39" s="3">
        <v>0</v>
      </c>
      <c r="AR39" s="3">
        <v>1</v>
      </c>
      <c r="AS39" s="3" t="s">
        <v>92</v>
      </c>
      <c r="AT39" s="13" t="s">
        <v>94</v>
      </c>
      <c r="AU39" s="13" t="s">
        <v>94</v>
      </c>
      <c r="AV39" s="12">
        <f>(BD39-AZ39)/(SQRT((BB39^2+BF39^2)/2))</f>
        <v>0.17816079717711789</v>
      </c>
      <c r="AW39" s="12" t="s">
        <v>94</v>
      </c>
      <c r="AX39" s="12"/>
      <c r="AY39" s="13"/>
      <c r="AZ39" s="3">
        <v>5.81</v>
      </c>
      <c r="BA39" s="13"/>
      <c r="BB39" s="3">
        <v>1.24</v>
      </c>
      <c r="BC39" s="10">
        <v>153</v>
      </c>
      <c r="BD39" s="3">
        <v>6.04</v>
      </c>
      <c r="BE39" s="13"/>
      <c r="BF39" s="3">
        <v>1.34</v>
      </c>
      <c r="BG39" s="10">
        <v>136</v>
      </c>
      <c r="BH39" s="13"/>
      <c r="BI39" s="10"/>
      <c r="BJ39" s="10"/>
      <c r="BK39" s="10"/>
      <c r="BL39" s="10"/>
      <c r="BM39" s="12" t="s">
        <v>94</v>
      </c>
      <c r="BN39" s="12" t="s">
        <v>94</v>
      </c>
      <c r="BO39" s="12" t="s">
        <v>94</v>
      </c>
      <c r="BP39" s="16" t="s">
        <v>94</v>
      </c>
      <c r="BQ39" s="16" t="s">
        <v>94</v>
      </c>
      <c r="BR39" s="16" t="s">
        <v>94</v>
      </c>
      <c r="BS39" s="3" t="s">
        <v>74</v>
      </c>
      <c r="BT39" s="3">
        <v>0</v>
      </c>
      <c r="BU39" s="3">
        <v>0</v>
      </c>
      <c r="BV39" s="3">
        <v>0</v>
      </c>
      <c r="BW39" s="3">
        <v>0</v>
      </c>
      <c r="BX39" s="3">
        <v>0</v>
      </c>
      <c r="BY39" s="3">
        <v>0</v>
      </c>
      <c r="BZ39" s="3">
        <v>0</v>
      </c>
      <c r="CA39" s="3">
        <v>0</v>
      </c>
      <c r="CB39" s="3">
        <v>0</v>
      </c>
      <c r="CC39" s="3">
        <v>0</v>
      </c>
      <c r="CD39" s="3">
        <v>1</v>
      </c>
      <c r="CE39" s="3">
        <v>0</v>
      </c>
      <c r="CF39" s="3">
        <v>0</v>
      </c>
      <c r="CH39">
        <v>1</v>
      </c>
      <c r="CI39" s="3">
        <v>0</v>
      </c>
      <c r="CJ39">
        <v>0</v>
      </c>
    </row>
    <row r="40" spans="1:88" ht="14.5" customHeight="1" x14ac:dyDescent="0.35">
      <c r="A40" s="3" t="s">
        <v>180</v>
      </c>
      <c r="B40" s="3">
        <v>1</v>
      </c>
      <c r="C40" s="3" t="s">
        <v>181</v>
      </c>
      <c r="D40" s="3">
        <v>1</v>
      </c>
      <c r="E40" s="3">
        <v>2020</v>
      </c>
      <c r="F40" s="3">
        <v>39</v>
      </c>
      <c r="G40" s="3">
        <v>1</v>
      </c>
      <c r="H40" s="3">
        <v>26</v>
      </c>
      <c r="I40" s="3">
        <v>17</v>
      </c>
      <c r="J40" s="3">
        <v>53</v>
      </c>
      <c r="K40" s="3">
        <v>11</v>
      </c>
      <c r="L40" s="3">
        <v>2</v>
      </c>
      <c r="M40" s="3" t="s">
        <v>278</v>
      </c>
      <c r="N40" s="3">
        <v>27</v>
      </c>
      <c r="O40" s="3" t="s">
        <v>182</v>
      </c>
      <c r="P40" s="3"/>
      <c r="Q40" s="3"/>
      <c r="R40" s="3"/>
      <c r="S40" s="3"/>
      <c r="T40" s="3"/>
      <c r="U40" s="3" t="s">
        <v>196</v>
      </c>
      <c r="V40" s="3" t="s">
        <v>82</v>
      </c>
      <c r="W40" s="3" t="s">
        <v>166</v>
      </c>
      <c r="X40" s="3">
        <v>0</v>
      </c>
      <c r="Y40" s="3">
        <v>0</v>
      </c>
      <c r="Z40" s="3" t="s">
        <v>84</v>
      </c>
      <c r="AA40" s="3" t="s">
        <v>85</v>
      </c>
      <c r="AB40" s="3" t="s">
        <v>94</v>
      </c>
      <c r="AC40" s="3" t="s">
        <v>86</v>
      </c>
      <c r="AD40" s="3" t="s">
        <v>87</v>
      </c>
      <c r="AE40" s="3">
        <v>0</v>
      </c>
      <c r="AF40" s="3" t="s">
        <v>135</v>
      </c>
      <c r="AG40" s="3" t="s">
        <v>136</v>
      </c>
      <c r="AH40" s="10">
        <f>SUM(BC40,BG40,BP40)</f>
        <v>289</v>
      </c>
      <c r="AI40" s="10">
        <f>SUM(BC40,BG40)</f>
        <v>289</v>
      </c>
      <c r="AJ40" s="10" t="s">
        <v>94</v>
      </c>
      <c r="AK40" s="10">
        <v>1</v>
      </c>
      <c r="AL40" s="3" t="s">
        <v>184</v>
      </c>
      <c r="AM40" s="3" t="s">
        <v>185</v>
      </c>
      <c r="AN40" s="3" t="s">
        <v>108</v>
      </c>
      <c r="AO40" s="3" t="s">
        <v>186</v>
      </c>
      <c r="AP40" s="3" t="s">
        <v>125</v>
      </c>
      <c r="AQ40" s="3">
        <v>0</v>
      </c>
      <c r="AR40" s="3">
        <v>1</v>
      </c>
      <c r="AS40" s="3" t="s">
        <v>92</v>
      </c>
      <c r="AT40" s="13" t="s">
        <v>94</v>
      </c>
      <c r="AU40" s="13" t="s">
        <v>94</v>
      </c>
      <c r="AV40" s="12">
        <f>(BD40-AZ40)/(SQRT((BB40^2+BF40^2)/2))</f>
        <v>0.26181645080604782</v>
      </c>
      <c r="AW40" s="12" t="s">
        <v>94</v>
      </c>
      <c r="AX40" s="12"/>
      <c r="AY40" s="13"/>
      <c r="AZ40" s="3">
        <v>5.76</v>
      </c>
      <c r="BA40" s="13"/>
      <c r="BB40" s="3">
        <v>1.37</v>
      </c>
      <c r="BC40" s="10">
        <v>153</v>
      </c>
      <c r="BD40" s="3">
        <v>6.12</v>
      </c>
      <c r="BE40" s="13"/>
      <c r="BF40" s="3">
        <v>1.38</v>
      </c>
      <c r="BG40" s="10">
        <v>136</v>
      </c>
      <c r="BH40" s="13"/>
      <c r="BI40" s="10"/>
      <c r="BJ40" s="10"/>
      <c r="BK40" s="10"/>
      <c r="BL40" s="10"/>
      <c r="BM40" s="12" t="s">
        <v>94</v>
      </c>
      <c r="BN40" s="12" t="s">
        <v>94</v>
      </c>
      <c r="BO40" s="12" t="s">
        <v>94</v>
      </c>
      <c r="BP40" s="16" t="s">
        <v>94</v>
      </c>
      <c r="BQ40" s="16" t="s">
        <v>94</v>
      </c>
      <c r="BR40" s="16" t="s">
        <v>94</v>
      </c>
      <c r="BS40" s="3" t="s">
        <v>74</v>
      </c>
      <c r="BT40" s="3">
        <v>0</v>
      </c>
      <c r="BU40" s="3">
        <v>0</v>
      </c>
      <c r="BV40" s="3">
        <v>0</v>
      </c>
      <c r="BW40" s="3">
        <v>0</v>
      </c>
      <c r="BX40" s="3">
        <v>0</v>
      </c>
      <c r="BY40" s="3">
        <v>0</v>
      </c>
      <c r="BZ40" s="3">
        <v>0</v>
      </c>
      <c r="CA40" s="3">
        <v>0</v>
      </c>
      <c r="CB40" s="3">
        <v>0</v>
      </c>
      <c r="CC40" s="3">
        <v>0</v>
      </c>
      <c r="CD40" s="3">
        <v>1</v>
      </c>
      <c r="CE40" s="3">
        <v>0</v>
      </c>
      <c r="CF40" s="3">
        <v>0</v>
      </c>
      <c r="CH40">
        <v>1</v>
      </c>
      <c r="CI40" s="3">
        <v>0</v>
      </c>
      <c r="CJ40">
        <v>0</v>
      </c>
    </row>
    <row r="41" spans="1:88" ht="14.5" customHeight="1" x14ac:dyDescent="0.35">
      <c r="A41" s="3" t="s">
        <v>180</v>
      </c>
      <c r="B41" s="3">
        <v>1</v>
      </c>
      <c r="C41" s="3" t="s">
        <v>181</v>
      </c>
      <c r="D41" s="3">
        <v>1</v>
      </c>
      <c r="E41" s="3">
        <v>2020</v>
      </c>
      <c r="F41" s="3">
        <v>40</v>
      </c>
      <c r="G41" s="3">
        <v>2</v>
      </c>
      <c r="H41" s="3">
        <v>27</v>
      </c>
      <c r="I41" s="3">
        <v>18</v>
      </c>
      <c r="J41" s="3">
        <v>61</v>
      </c>
      <c r="K41" s="3">
        <v>11</v>
      </c>
      <c r="L41" s="3">
        <v>2</v>
      </c>
      <c r="M41" s="3" t="s">
        <v>279</v>
      </c>
      <c r="N41" s="3">
        <v>27</v>
      </c>
      <c r="O41" s="3" t="s">
        <v>182</v>
      </c>
      <c r="P41" s="3"/>
      <c r="Q41" s="3"/>
      <c r="R41" s="3"/>
      <c r="S41" s="3"/>
      <c r="T41" s="3"/>
      <c r="U41" s="3" t="s">
        <v>187</v>
      </c>
      <c r="V41" s="3" t="s">
        <v>82</v>
      </c>
      <c r="W41" s="3" t="s">
        <v>188</v>
      </c>
      <c r="X41" s="3">
        <v>0</v>
      </c>
      <c r="Y41" s="3">
        <v>0</v>
      </c>
      <c r="Z41" s="3" t="s">
        <v>84</v>
      </c>
      <c r="AA41" s="3" t="s">
        <v>85</v>
      </c>
      <c r="AB41" s="3" t="s">
        <v>94</v>
      </c>
      <c r="AC41" s="3" t="s">
        <v>86</v>
      </c>
      <c r="AD41" s="3" t="s">
        <v>87</v>
      </c>
      <c r="AE41" s="3">
        <v>0</v>
      </c>
      <c r="AF41" s="3" t="s">
        <v>135</v>
      </c>
      <c r="AG41" s="3" t="s">
        <v>136</v>
      </c>
      <c r="AH41" s="10">
        <f>SUM(BJ41,BL41,BR41)</f>
        <v>702</v>
      </c>
      <c r="AI41" s="10">
        <f>SUM(BJ41,BL41)</f>
        <v>702</v>
      </c>
      <c r="AJ41" s="10" t="s">
        <v>94</v>
      </c>
      <c r="AK41" s="10">
        <v>1</v>
      </c>
      <c r="AL41" s="3">
        <v>38</v>
      </c>
      <c r="AM41" s="3" t="s">
        <v>189</v>
      </c>
      <c r="AN41" s="3" t="s">
        <v>108</v>
      </c>
      <c r="AO41" s="3" t="s">
        <v>186</v>
      </c>
      <c r="AP41" s="3" t="s">
        <v>125</v>
      </c>
      <c r="AQ41" s="3">
        <v>0</v>
      </c>
      <c r="AR41" s="3">
        <v>0</v>
      </c>
      <c r="AS41" s="3" t="s">
        <v>111</v>
      </c>
      <c r="AT41" s="13" t="s">
        <v>94</v>
      </c>
      <c r="AU41" s="13" t="s">
        <v>94</v>
      </c>
      <c r="AV41" s="12">
        <f>LN((BK41/(BL41-BK41))/(BI41/(BJ41-BI41)))*(SQRT(3)/PI())</f>
        <v>6.7209835563295205E-3</v>
      </c>
      <c r="AW41" s="12" t="s">
        <v>94</v>
      </c>
      <c r="AX41" s="12"/>
      <c r="AY41" s="13"/>
      <c r="AZ41" s="13"/>
      <c r="BA41" s="13"/>
      <c r="BB41" s="13"/>
      <c r="BC41" s="10"/>
      <c r="BD41" s="13"/>
      <c r="BE41" s="13"/>
      <c r="BF41" s="13"/>
      <c r="BG41" s="10"/>
      <c r="BH41" s="13"/>
      <c r="BI41" s="16">
        <f>0.561*BJ41</f>
        <v>195.22800000000001</v>
      </c>
      <c r="BJ41" s="16">
        <v>348</v>
      </c>
      <c r="BK41" s="16">
        <f>0.564*BL41</f>
        <v>199.65599999999998</v>
      </c>
      <c r="BL41" s="16">
        <v>354</v>
      </c>
      <c r="BM41" s="14" t="s">
        <v>94</v>
      </c>
      <c r="BN41" s="14" t="s">
        <v>94</v>
      </c>
      <c r="BO41" s="14" t="s">
        <v>94</v>
      </c>
      <c r="BP41" s="15" t="s">
        <v>94</v>
      </c>
      <c r="BQ41" s="16" t="s">
        <v>94</v>
      </c>
      <c r="BR41" s="16" t="s">
        <v>94</v>
      </c>
      <c r="BS41" s="3" t="s">
        <v>74</v>
      </c>
      <c r="BT41" s="3">
        <v>0</v>
      </c>
      <c r="BU41" s="3">
        <v>0</v>
      </c>
      <c r="BV41" s="3">
        <v>0</v>
      </c>
      <c r="BW41" s="3">
        <v>0</v>
      </c>
      <c r="BX41" s="3">
        <v>0</v>
      </c>
      <c r="BY41" s="3">
        <v>0</v>
      </c>
      <c r="BZ41" s="3">
        <v>0</v>
      </c>
      <c r="CA41" s="3">
        <v>0</v>
      </c>
      <c r="CB41" s="3">
        <v>0</v>
      </c>
      <c r="CC41" s="3">
        <v>0</v>
      </c>
      <c r="CD41" s="3">
        <v>1</v>
      </c>
      <c r="CE41" s="3">
        <v>0</v>
      </c>
      <c r="CF41" s="3">
        <v>0</v>
      </c>
      <c r="CH41">
        <v>1</v>
      </c>
      <c r="CI41" s="3">
        <v>0</v>
      </c>
      <c r="CJ41">
        <v>0</v>
      </c>
    </row>
    <row r="42" spans="1:88" ht="14.5" customHeight="1" x14ac:dyDescent="0.35">
      <c r="A42" s="3" t="s">
        <v>180</v>
      </c>
      <c r="B42" s="3">
        <v>1</v>
      </c>
      <c r="C42" s="3" t="s">
        <v>181</v>
      </c>
      <c r="D42" s="3">
        <v>1</v>
      </c>
      <c r="E42" s="3">
        <v>2020</v>
      </c>
      <c r="F42" s="3">
        <v>41</v>
      </c>
      <c r="G42" s="3">
        <v>2</v>
      </c>
      <c r="H42" s="3">
        <v>27</v>
      </c>
      <c r="I42" s="3">
        <v>18</v>
      </c>
      <c r="J42" s="3">
        <v>60</v>
      </c>
      <c r="K42" s="3">
        <v>11</v>
      </c>
      <c r="L42" s="3">
        <v>2</v>
      </c>
      <c r="M42" s="3" t="s">
        <v>279</v>
      </c>
      <c r="N42" s="3">
        <v>27</v>
      </c>
      <c r="O42" s="3" t="s">
        <v>182</v>
      </c>
      <c r="P42" s="3"/>
      <c r="Q42" s="3"/>
      <c r="R42" s="3"/>
      <c r="S42" s="3"/>
      <c r="T42" s="3"/>
      <c r="U42" s="3" t="s">
        <v>192</v>
      </c>
      <c r="V42" s="3" t="s">
        <v>82</v>
      </c>
      <c r="W42" s="3" t="s">
        <v>83</v>
      </c>
      <c r="X42" s="3">
        <v>0</v>
      </c>
      <c r="Y42" s="3">
        <v>0</v>
      </c>
      <c r="Z42" s="3" t="s">
        <v>84</v>
      </c>
      <c r="AA42" s="3" t="s">
        <v>85</v>
      </c>
      <c r="AB42" s="3" t="s">
        <v>94</v>
      </c>
      <c r="AC42" s="3" t="s">
        <v>86</v>
      </c>
      <c r="AD42" s="3" t="s">
        <v>87</v>
      </c>
      <c r="AE42" s="3">
        <v>0</v>
      </c>
      <c r="AF42" s="3" t="s">
        <v>135</v>
      </c>
      <c r="AG42" s="3" t="s">
        <v>136</v>
      </c>
      <c r="AH42" s="10">
        <f>SUM(BC42,BG42,BP42)</f>
        <v>702</v>
      </c>
      <c r="AI42" s="10">
        <f>SUM(BC42,BG42)</f>
        <v>702</v>
      </c>
      <c r="AJ42" s="10" t="s">
        <v>94</v>
      </c>
      <c r="AK42" s="10">
        <v>1</v>
      </c>
      <c r="AL42" s="3">
        <v>38</v>
      </c>
      <c r="AM42" s="3" t="s">
        <v>189</v>
      </c>
      <c r="AN42" s="3" t="s">
        <v>108</v>
      </c>
      <c r="AO42" s="3" t="s">
        <v>186</v>
      </c>
      <c r="AP42" s="3" t="s">
        <v>125</v>
      </c>
      <c r="AQ42" s="3">
        <v>0</v>
      </c>
      <c r="AR42" s="3">
        <v>0</v>
      </c>
      <c r="AS42" s="3" t="s">
        <v>92</v>
      </c>
      <c r="AT42" s="13" t="s">
        <v>94</v>
      </c>
      <c r="AU42" s="13" t="s">
        <v>94</v>
      </c>
      <c r="AV42" s="12">
        <f>(BD42-AZ42)/(SQRT((BB42^2+BF42^2)/2))</f>
        <v>8.1523286810315995E-2</v>
      </c>
      <c r="AW42" s="12" t="s">
        <v>94</v>
      </c>
      <c r="AX42" s="12"/>
      <c r="AY42" s="13"/>
      <c r="AZ42" s="3">
        <v>4.46</v>
      </c>
      <c r="BA42" s="13"/>
      <c r="BB42" s="3">
        <v>2.0499999999999998</v>
      </c>
      <c r="BC42" s="10">
        <v>348</v>
      </c>
      <c r="BD42" s="3">
        <v>4.63</v>
      </c>
      <c r="BE42" s="13"/>
      <c r="BF42" s="3">
        <v>2.12</v>
      </c>
      <c r="BG42" s="10">
        <v>354</v>
      </c>
      <c r="BH42" s="13"/>
      <c r="BI42" s="10"/>
      <c r="BJ42" s="10"/>
      <c r="BK42" s="10"/>
      <c r="BL42" s="10"/>
      <c r="BM42" s="14" t="s">
        <v>94</v>
      </c>
      <c r="BN42" s="14" t="s">
        <v>94</v>
      </c>
      <c r="BO42" s="14" t="s">
        <v>94</v>
      </c>
      <c r="BP42" s="15" t="s">
        <v>94</v>
      </c>
      <c r="BQ42" s="16" t="s">
        <v>94</v>
      </c>
      <c r="BR42" s="16" t="s">
        <v>94</v>
      </c>
      <c r="BS42" s="3" t="s">
        <v>74</v>
      </c>
      <c r="BT42" s="3">
        <v>0</v>
      </c>
      <c r="BU42" s="3">
        <v>0</v>
      </c>
      <c r="BV42" s="3">
        <v>0</v>
      </c>
      <c r="BW42" s="3">
        <v>0</v>
      </c>
      <c r="BX42" s="3">
        <v>0</v>
      </c>
      <c r="BY42" s="3">
        <v>0</v>
      </c>
      <c r="BZ42" s="3">
        <v>0</v>
      </c>
      <c r="CA42" s="3">
        <v>0</v>
      </c>
      <c r="CB42" s="3">
        <v>0</v>
      </c>
      <c r="CC42" s="3">
        <v>0</v>
      </c>
      <c r="CD42" s="3">
        <v>1</v>
      </c>
      <c r="CE42" s="3">
        <v>0</v>
      </c>
      <c r="CF42" s="3">
        <v>0</v>
      </c>
      <c r="CH42">
        <v>1</v>
      </c>
      <c r="CI42" s="3">
        <v>0</v>
      </c>
      <c r="CJ42">
        <v>0</v>
      </c>
    </row>
    <row r="43" spans="1:88" x14ac:dyDescent="0.35">
      <c r="A43" s="3" t="s">
        <v>180</v>
      </c>
      <c r="B43" s="3">
        <v>1</v>
      </c>
      <c r="C43" s="3" t="s">
        <v>181</v>
      </c>
      <c r="D43" s="3">
        <v>1</v>
      </c>
      <c r="E43" s="3">
        <v>2020</v>
      </c>
      <c r="F43" s="3">
        <v>42</v>
      </c>
      <c r="G43" s="3">
        <v>2</v>
      </c>
      <c r="H43" s="3">
        <v>27</v>
      </c>
      <c r="I43" s="3">
        <v>18</v>
      </c>
      <c r="J43" s="3">
        <v>58</v>
      </c>
      <c r="K43" s="3">
        <v>11</v>
      </c>
      <c r="L43" s="3">
        <v>2</v>
      </c>
      <c r="M43" s="3" t="s">
        <v>279</v>
      </c>
      <c r="N43" s="3">
        <v>27</v>
      </c>
      <c r="O43" s="3" t="s">
        <v>182</v>
      </c>
      <c r="P43" s="3"/>
      <c r="Q43" s="3"/>
      <c r="R43" s="3"/>
      <c r="S43" s="3"/>
      <c r="T43" s="3"/>
      <c r="U43" s="3" t="s">
        <v>194</v>
      </c>
      <c r="V43" s="3" t="s">
        <v>97</v>
      </c>
      <c r="W43" s="3" t="s">
        <v>97</v>
      </c>
      <c r="X43" s="3">
        <v>1</v>
      </c>
      <c r="Y43" s="3">
        <v>1</v>
      </c>
      <c r="Z43" s="3" t="s">
        <v>84</v>
      </c>
      <c r="AA43" s="3" t="s">
        <v>85</v>
      </c>
      <c r="AB43" s="3" t="s">
        <v>94</v>
      </c>
      <c r="AC43" s="3" t="s">
        <v>86</v>
      </c>
      <c r="AD43" s="3" t="s">
        <v>87</v>
      </c>
      <c r="AE43" s="3">
        <v>0</v>
      </c>
      <c r="AF43" s="3" t="s">
        <v>135</v>
      </c>
      <c r="AG43" s="3" t="s">
        <v>136</v>
      </c>
      <c r="AH43" s="10">
        <f>SUM(BJ43,BL43,BR43)</f>
        <v>702</v>
      </c>
      <c r="AI43" s="10">
        <f>SUM(BJ43,BL43)</f>
        <v>702</v>
      </c>
      <c r="AJ43" s="10" t="s">
        <v>94</v>
      </c>
      <c r="AK43" s="10">
        <v>1</v>
      </c>
      <c r="AL43" s="3">
        <v>38</v>
      </c>
      <c r="AM43" s="3" t="s">
        <v>189</v>
      </c>
      <c r="AN43" s="3" t="s">
        <v>108</v>
      </c>
      <c r="AO43" s="3" t="s">
        <v>186</v>
      </c>
      <c r="AP43" s="3" t="s">
        <v>125</v>
      </c>
      <c r="AQ43" s="3">
        <v>0</v>
      </c>
      <c r="AR43" s="3">
        <v>0</v>
      </c>
      <c r="AS43" s="3" t="s">
        <v>111</v>
      </c>
      <c r="AT43" s="13" t="s">
        <v>94</v>
      </c>
      <c r="AU43" s="13" t="s">
        <v>94</v>
      </c>
      <c r="AV43" s="12">
        <f>LN((BK43/(BL43-BK43))/(BI43/(BJ43-BI43)))*(SQRT(3)/PI())</f>
        <v>0.13247859458755029</v>
      </c>
      <c r="AW43" s="12" t="s">
        <v>94</v>
      </c>
      <c r="AX43" s="12">
        <v>0.113</v>
      </c>
      <c r="AY43" s="13"/>
      <c r="AZ43" s="13"/>
      <c r="BA43" s="13"/>
      <c r="BB43" s="13"/>
      <c r="BC43" s="10"/>
      <c r="BD43" s="13"/>
      <c r="BE43" s="13"/>
      <c r="BF43" s="13"/>
      <c r="BG43" s="10"/>
      <c r="BH43" s="13"/>
      <c r="BI43" s="16">
        <f>0.471*BJ43</f>
        <v>163.90799999999999</v>
      </c>
      <c r="BJ43" s="16">
        <v>348</v>
      </c>
      <c r="BK43" s="16">
        <f>0.531*BL43</f>
        <v>187.97400000000002</v>
      </c>
      <c r="BL43" s="16">
        <v>354</v>
      </c>
      <c r="BM43" s="14" t="s">
        <v>94</v>
      </c>
      <c r="BN43" s="14" t="s">
        <v>94</v>
      </c>
      <c r="BO43" s="14" t="s">
        <v>94</v>
      </c>
      <c r="BP43" s="15" t="s">
        <v>94</v>
      </c>
      <c r="BQ43" s="16" t="s">
        <v>94</v>
      </c>
      <c r="BR43" s="16" t="s">
        <v>94</v>
      </c>
      <c r="BS43" s="3" t="s">
        <v>74</v>
      </c>
      <c r="BT43" s="3">
        <v>0</v>
      </c>
      <c r="BU43" s="3">
        <v>0</v>
      </c>
      <c r="BV43" s="3">
        <v>0</v>
      </c>
      <c r="BW43" s="3">
        <v>0</v>
      </c>
      <c r="BX43" s="3">
        <v>0</v>
      </c>
      <c r="BY43" s="3">
        <v>0</v>
      </c>
      <c r="BZ43" s="3">
        <v>0</v>
      </c>
      <c r="CA43" s="3">
        <v>0</v>
      </c>
      <c r="CB43" s="3">
        <v>0</v>
      </c>
      <c r="CC43" s="3">
        <v>0</v>
      </c>
      <c r="CD43" s="3">
        <v>1</v>
      </c>
      <c r="CE43" s="3">
        <v>0</v>
      </c>
      <c r="CF43" s="3">
        <v>0</v>
      </c>
      <c r="CH43">
        <v>1</v>
      </c>
      <c r="CI43" s="3">
        <v>0</v>
      </c>
      <c r="CJ43">
        <v>0</v>
      </c>
    </row>
    <row r="44" spans="1:88" x14ac:dyDescent="0.35">
      <c r="A44" s="3" t="s">
        <v>180</v>
      </c>
      <c r="B44" s="3">
        <v>1</v>
      </c>
      <c r="C44" s="3" t="s">
        <v>181</v>
      </c>
      <c r="D44" s="3">
        <v>1</v>
      </c>
      <c r="E44" s="3">
        <v>2020</v>
      </c>
      <c r="F44" s="3">
        <v>43</v>
      </c>
      <c r="G44" s="3">
        <v>2</v>
      </c>
      <c r="H44" s="3">
        <v>27</v>
      </c>
      <c r="I44" s="3">
        <v>18</v>
      </c>
      <c r="J44" s="3">
        <v>59</v>
      </c>
      <c r="K44" s="3">
        <v>11</v>
      </c>
      <c r="L44" s="3">
        <v>2</v>
      </c>
      <c r="M44" s="3" t="s">
        <v>279</v>
      </c>
      <c r="N44" s="3">
        <v>27</v>
      </c>
      <c r="O44" s="3" t="s">
        <v>182</v>
      </c>
      <c r="P44" s="3"/>
      <c r="Q44" s="3"/>
      <c r="R44" s="3"/>
      <c r="S44" s="3"/>
      <c r="T44" s="3"/>
      <c r="U44" s="3" t="s">
        <v>190</v>
      </c>
      <c r="V44" s="3" t="s">
        <v>82</v>
      </c>
      <c r="W44" s="3" t="s">
        <v>166</v>
      </c>
      <c r="X44" s="3">
        <v>1</v>
      </c>
      <c r="Y44" s="3">
        <v>0</v>
      </c>
      <c r="Z44" s="3" t="s">
        <v>84</v>
      </c>
      <c r="AA44" s="3" t="s">
        <v>85</v>
      </c>
      <c r="AB44" s="3" t="s">
        <v>94</v>
      </c>
      <c r="AC44" s="3" t="s">
        <v>86</v>
      </c>
      <c r="AD44" s="3" t="s">
        <v>87</v>
      </c>
      <c r="AE44" s="3">
        <v>0</v>
      </c>
      <c r="AF44" s="3" t="s">
        <v>135</v>
      </c>
      <c r="AG44" s="3" t="s">
        <v>136</v>
      </c>
      <c r="AH44" s="10">
        <f>SUM(BC44,BG44,BP44)</f>
        <v>702</v>
      </c>
      <c r="AI44" s="10">
        <f>SUM(BC44,BG44)</f>
        <v>702</v>
      </c>
      <c r="AJ44" s="10" t="s">
        <v>94</v>
      </c>
      <c r="AK44" s="10">
        <v>1</v>
      </c>
      <c r="AL44" s="3">
        <v>38</v>
      </c>
      <c r="AM44" s="3" t="s">
        <v>189</v>
      </c>
      <c r="AN44" s="3" t="s">
        <v>108</v>
      </c>
      <c r="AO44" s="3" t="s">
        <v>186</v>
      </c>
      <c r="AP44" s="3" t="s">
        <v>125</v>
      </c>
      <c r="AQ44" s="3">
        <v>2</v>
      </c>
      <c r="AR44" s="3">
        <v>0</v>
      </c>
      <c r="AS44" s="3" t="s">
        <v>92</v>
      </c>
      <c r="AT44" s="13" t="s">
        <v>94</v>
      </c>
      <c r="AU44" s="13" t="s">
        <v>94</v>
      </c>
      <c r="AV44" s="12">
        <f>(BD44-AZ44)/(SQRT((BB44^2+BF44^2)/2))</f>
        <v>-0.21555049900332302</v>
      </c>
      <c r="AW44" s="12" t="s">
        <v>94</v>
      </c>
      <c r="AX44" s="12">
        <v>4.0000000000000001E-3</v>
      </c>
      <c r="AY44" s="13"/>
      <c r="AZ44" s="3">
        <v>6.22</v>
      </c>
      <c r="BA44" s="13"/>
      <c r="BB44" s="3">
        <v>1.39</v>
      </c>
      <c r="BC44" s="10">
        <v>348</v>
      </c>
      <c r="BD44" s="3">
        <v>5.89</v>
      </c>
      <c r="BE44" s="13"/>
      <c r="BF44" s="3">
        <v>1.66</v>
      </c>
      <c r="BG44" s="10">
        <v>354</v>
      </c>
      <c r="BH44" s="13"/>
      <c r="BI44" s="10"/>
      <c r="BJ44" s="10"/>
      <c r="BK44" s="10"/>
      <c r="BL44" s="10"/>
      <c r="BM44" s="14" t="s">
        <v>94</v>
      </c>
      <c r="BN44" s="14" t="s">
        <v>94</v>
      </c>
      <c r="BO44" s="14" t="s">
        <v>94</v>
      </c>
      <c r="BP44" s="15" t="s">
        <v>94</v>
      </c>
      <c r="BQ44" s="16" t="s">
        <v>94</v>
      </c>
      <c r="BR44" s="16" t="s">
        <v>94</v>
      </c>
      <c r="BS44" s="3" t="s">
        <v>74</v>
      </c>
      <c r="BT44" s="3">
        <v>0</v>
      </c>
      <c r="BU44" s="3">
        <v>0</v>
      </c>
      <c r="BV44" s="3">
        <v>0</v>
      </c>
      <c r="BW44" s="3">
        <v>0</v>
      </c>
      <c r="BX44" s="3">
        <v>0</v>
      </c>
      <c r="BY44" s="3">
        <v>0</v>
      </c>
      <c r="BZ44" s="3">
        <v>0</v>
      </c>
      <c r="CA44" s="3">
        <v>0</v>
      </c>
      <c r="CB44" s="3">
        <v>0</v>
      </c>
      <c r="CC44" s="3">
        <v>0</v>
      </c>
      <c r="CD44" s="3">
        <v>1</v>
      </c>
      <c r="CE44" s="3">
        <v>0</v>
      </c>
      <c r="CF44" s="3">
        <v>0</v>
      </c>
      <c r="CH44">
        <v>1</v>
      </c>
      <c r="CI44" s="3">
        <v>0</v>
      </c>
      <c r="CJ44">
        <v>0</v>
      </c>
    </row>
    <row r="45" spans="1:88" x14ac:dyDescent="0.35">
      <c r="A45" s="3" t="s">
        <v>197</v>
      </c>
      <c r="B45" s="3">
        <v>2</v>
      </c>
      <c r="C45" s="3" t="s">
        <v>211</v>
      </c>
      <c r="D45" s="3">
        <v>1</v>
      </c>
      <c r="E45" s="3">
        <v>2021</v>
      </c>
      <c r="F45" s="3">
        <v>44</v>
      </c>
      <c r="G45" s="3">
        <v>1</v>
      </c>
      <c r="H45" s="3">
        <v>28</v>
      </c>
      <c r="I45" s="3">
        <v>19</v>
      </c>
      <c r="J45" s="3">
        <v>62</v>
      </c>
      <c r="K45" s="3">
        <v>12</v>
      </c>
      <c r="L45" s="3">
        <v>2</v>
      </c>
      <c r="M45" s="3" t="s">
        <v>279</v>
      </c>
      <c r="N45" s="3">
        <v>28</v>
      </c>
      <c r="O45" s="3" t="s">
        <v>212</v>
      </c>
      <c r="P45" s="3"/>
      <c r="Q45" s="3"/>
      <c r="R45" s="3"/>
      <c r="S45" s="3"/>
      <c r="T45" s="3"/>
      <c r="U45" s="3" t="s">
        <v>213</v>
      </c>
      <c r="V45" s="3" t="s">
        <v>97</v>
      </c>
      <c r="W45" s="3" t="s">
        <v>97</v>
      </c>
      <c r="X45" s="3">
        <v>1</v>
      </c>
      <c r="Y45" s="3">
        <v>1</v>
      </c>
      <c r="Z45" s="3" t="s">
        <v>84</v>
      </c>
      <c r="AA45" s="3" t="s">
        <v>85</v>
      </c>
      <c r="AB45" s="3" t="s">
        <v>94</v>
      </c>
      <c r="AC45" s="3" t="s">
        <v>86</v>
      </c>
      <c r="AD45" s="3" t="s">
        <v>87</v>
      </c>
      <c r="AE45" s="3" t="s">
        <v>126</v>
      </c>
      <c r="AF45" s="3" t="s">
        <v>214</v>
      </c>
      <c r="AG45" s="3" t="s">
        <v>162</v>
      </c>
      <c r="AH45" s="10">
        <f>SUM(BJ45,BL45,BR45)</f>
        <v>415</v>
      </c>
      <c r="AI45" s="10">
        <f>SUM(BJ45,BL45)</f>
        <v>415</v>
      </c>
      <c r="AJ45" s="10" t="s">
        <v>94</v>
      </c>
      <c r="AK45" s="10">
        <v>1</v>
      </c>
      <c r="AL45" s="3" t="s">
        <v>215</v>
      </c>
      <c r="AM45" s="3" t="s">
        <v>216</v>
      </c>
      <c r="AN45" s="3" t="s">
        <v>108</v>
      </c>
      <c r="AO45" s="3" t="s">
        <v>179</v>
      </c>
      <c r="AP45" s="3" t="s">
        <v>125</v>
      </c>
      <c r="AQ45" s="3">
        <v>0</v>
      </c>
      <c r="AR45" s="3">
        <v>0</v>
      </c>
      <c r="AS45" s="3" t="s">
        <v>111</v>
      </c>
      <c r="AT45" s="13" t="s">
        <v>94</v>
      </c>
      <c r="AU45" s="13" t="s">
        <v>94</v>
      </c>
      <c r="AV45" s="12">
        <f>LN((BK45/(BL45-BK45))/(BI45/(BJ45-BI45)))*(SQRT(3)/PI())</f>
        <v>-0.18617129859618148</v>
      </c>
      <c r="AW45" s="12" t="s">
        <v>94</v>
      </c>
      <c r="AX45" s="12">
        <v>0.11799999999999999</v>
      </c>
      <c r="AY45" s="13"/>
      <c r="AZ45" s="13"/>
      <c r="BA45" s="13"/>
      <c r="BB45" s="13"/>
      <c r="BC45" s="10"/>
      <c r="BD45" s="13"/>
      <c r="BE45" s="13"/>
      <c r="BF45" s="13"/>
      <c r="BG45" s="10"/>
      <c r="BH45" s="13"/>
      <c r="BI45" s="16">
        <f>0.733*BJ45</f>
        <v>148.066</v>
      </c>
      <c r="BJ45" s="16">
        <v>202</v>
      </c>
      <c r="BK45" s="16">
        <f>0.662*BL45</f>
        <v>141.006</v>
      </c>
      <c r="BL45" s="16">
        <v>213</v>
      </c>
      <c r="BM45" s="12" t="s">
        <v>94</v>
      </c>
      <c r="BN45" s="12" t="s">
        <v>94</v>
      </c>
      <c r="BO45" s="12" t="s">
        <v>94</v>
      </c>
      <c r="BP45" s="16" t="s">
        <v>94</v>
      </c>
      <c r="BQ45" s="16" t="s">
        <v>94</v>
      </c>
      <c r="BR45" s="16" t="s">
        <v>94</v>
      </c>
      <c r="BS45" s="3" t="s">
        <v>74</v>
      </c>
      <c r="BT45" s="3">
        <v>0</v>
      </c>
      <c r="BU45" s="3">
        <v>0</v>
      </c>
      <c r="BV45" s="3">
        <v>0</v>
      </c>
      <c r="BW45" s="3">
        <v>0</v>
      </c>
      <c r="BX45" s="3">
        <v>0</v>
      </c>
      <c r="BY45" s="3">
        <v>0</v>
      </c>
      <c r="BZ45" s="3">
        <v>0</v>
      </c>
      <c r="CA45" s="3">
        <v>0</v>
      </c>
      <c r="CB45" s="3">
        <v>0</v>
      </c>
      <c r="CC45" s="3">
        <v>0</v>
      </c>
      <c r="CD45" s="3">
        <v>1</v>
      </c>
      <c r="CE45" s="3">
        <v>0</v>
      </c>
      <c r="CF45" s="3">
        <v>0</v>
      </c>
      <c r="CH45">
        <v>1</v>
      </c>
      <c r="CI45">
        <v>0</v>
      </c>
      <c r="CJ45">
        <v>0</v>
      </c>
    </row>
    <row r="46" spans="1:88" x14ac:dyDescent="0.35">
      <c r="A46" s="3" t="s">
        <v>197</v>
      </c>
      <c r="B46" s="3">
        <v>2</v>
      </c>
      <c r="C46" s="3" t="s">
        <v>211</v>
      </c>
      <c r="D46" s="3">
        <v>1</v>
      </c>
      <c r="E46" s="3">
        <v>2021</v>
      </c>
      <c r="F46" s="3">
        <v>45</v>
      </c>
      <c r="G46" s="3">
        <v>1</v>
      </c>
      <c r="H46" s="3">
        <v>28</v>
      </c>
      <c r="I46" s="3">
        <v>19</v>
      </c>
      <c r="J46" s="3">
        <v>63</v>
      </c>
      <c r="K46" s="3">
        <v>12</v>
      </c>
      <c r="L46" s="3">
        <v>2</v>
      </c>
      <c r="M46" s="3" t="s">
        <v>279</v>
      </c>
      <c r="N46" s="3">
        <v>28</v>
      </c>
      <c r="O46" s="3" t="s">
        <v>212</v>
      </c>
      <c r="P46" s="3"/>
      <c r="Q46" s="3"/>
      <c r="R46" s="3"/>
      <c r="S46" s="3"/>
      <c r="T46" s="3"/>
      <c r="U46" s="3" t="s">
        <v>218</v>
      </c>
      <c r="V46" s="3" t="s">
        <v>82</v>
      </c>
      <c r="W46" s="3" t="s">
        <v>177</v>
      </c>
      <c r="X46" s="3">
        <v>1</v>
      </c>
      <c r="Y46" s="3">
        <v>0</v>
      </c>
      <c r="Z46" s="3" t="s">
        <v>84</v>
      </c>
      <c r="AA46" s="3" t="s">
        <v>85</v>
      </c>
      <c r="AB46" s="3" t="s">
        <v>94</v>
      </c>
      <c r="AC46" s="3" t="s">
        <v>86</v>
      </c>
      <c r="AD46" s="3" t="s">
        <v>87</v>
      </c>
      <c r="AE46" s="3" t="s">
        <v>126</v>
      </c>
      <c r="AF46" s="3" t="s">
        <v>214</v>
      </c>
      <c r="AG46" s="3" t="s">
        <v>162</v>
      </c>
      <c r="AH46" s="10">
        <f>SUM(BC46,BG46,BP46)</f>
        <v>415</v>
      </c>
      <c r="AI46" s="10">
        <f>SUM(BC46,BG46)</f>
        <v>415</v>
      </c>
      <c r="AJ46" s="10" t="s">
        <v>94</v>
      </c>
      <c r="AK46" s="10">
        <v>1</v>
      </c>
      <c r="AL46" s="3" t="s">
        <v>215</v>
      </c>
      <c r="AM46" s="3" t="s">
        <v>216</v>
      </c>
      <c r="AN46" s="3" t="s">
        <v>108</v>
      </c>
      <c r="AO46" s="3" t="s">
        <v>179</v>
      </c>
      <c r="AP46" s="3" t="s">
        <v>125</v>
      </c>
      <c r="AQ46" s="3">
        <v>0</v>
      </c>
      <c r="AR46" s="3">
        <v>0</v>
      </c>
      <c r="AS46" s="3" t="s">
        <v>92</v>
      </c>
      <c r="AT46" s="13" t="s">
        <v>94</v>
      </c>
      <c r="AU46" s="13" t="s">
        <v>94</v>
      </c>
      <c r="AV46" s="12">
        <f>(BD46-AZ46)/(SQRT((BB46^2+BF46^2)/2))</f>
        <v>-6.4217481014653591E-2</v>
      </c>
      <c r="AW46" s="12" t="s">
        <v>94</v>
      </c>
      <c r="AX46" s="12">
        <v>0.53</v>
      </c>
      <c r="AY46" s="13"/>
      <c r="AZ46" s="3">
        <v>5.53</v>
      </c>
      <c r="BA46" s="13"/>
      <c r="BB46" s="3">
        <v>1.1000000000000001</v>
      </c>
      <c r="BC46" s="10">
        <v>202</v>
      </c>
      <c r="BD46" s="3">
        <v>5.46</v>
      </c>
      <c r="BE46" s="13"/>
      <c r="BF46" s="3">
        <v>1.08</v>
      </c>
      <c r="BG46" s="10">
        <v>213</v>
      </c>
      <c r="BH46" s="13"/>
      <c r="BI46" s="10"/>
      <c r="BJ46" s="10"/>
      <c r="BK46" s="10"/>
      <c r="BL46" s="10"/>
      <c r="BM46" s="12" t="s">
        <v>94</v>
      </c>
      <c r="BN46" s="12" t="s">
        <v>94</v>
      </c>
      <c r="BO46" s="12" t="s">
        <v>94</v>
      </c>
      <c r="BP46" s="16" t="s">
        <v>94</v>
      </c>
      <c r="BQ46" s="16" t="s">
        <v>94</v>
      </c>
      <c r="BR46" s="16" t="s">
        <v>94</v>
      </c>
      <c r="BS46" s="3" t="s">
        <v>74</v>
      </c>
      <c r="BT46" s="3">
        <v>0</v>
      </c>
      <c r="BU46" s="3">
        <v>0</v>
      </c>
      <c r="BV46" s="3">
        <v>0</v>
      </c>
      <c r="BW46" s="3">
        <v>0</v>
      </c>
      <c r="BX46" s="3">
        <v>0</v>
      </c>
      <c r="BY46" s="3">
        <v>0</v>
      </c>
      <c r="BZ46" s="3">
        <v>0</v>
      </c>
      <c r="CA46" s="3">
        <v>0</v>
      </c>
      <c r="CB46" s="3">
        <v>0</v>
      </c>
      <c r="CC46" s="3">
        <v>0</v>
      </c>
      <c r="CD46" s="3">
        <v>1</v>
      </c>
      <c r="CE46" s="3">
        <v>0</v>
      </c>
      <c r="CF46" s="3">
        <v>0</v>
      </c>
      <c r="CH46">
        <v>1</v>
      </c>
      <c r="CI46">
        <v>0</v>
      </c>
      <c r="CJ46">
        <v>0</v>
      </c>
    </row>
    <row r="47" spans="1:88" x14ac:dyDescent="0.35">
      <c r="A47" s="3" t="s">
        <v>197</v>
      </c>
      <c r="B47" s="3">
        <v>2</v>
      </c>
      <c r="C47" s="3" t="s">
        <v>211</v>
      </c>
      <c r="D47" s="3">
        <v>1</v>
      </c>
      <c r="E47" s="3">
        <v>2021</v>
      </c>
      <c r="F47" s="3">
        <v>46</v>
      </c>
      <c r="G47" s="3">
        <v>2</v>
      </c>
      <c r="H47" s="3">
        <v>29</v>
      </c>
      <c r="I47" s="3">
        <v>20</v>
      </c>
      <c r="J47" s="3">
        <v>64</v>
      </c>
      <c r="K47" s="3">
        <v>12</v>
      </c>
      <c r="L47" s="3">
        <v>2</v>
      </c>
      <c r="M47" s="3" t="s">
        <v>278</v>
      </c>
      <c r="N47" s="3">
        <v>28</v>
      </c>
      <c r="O47" s="3" t="s">
        <v>212</v>
      </c>
      <c r="P47" s="3"/>
      <c r="Q47" s="3"/>
      <c r="R47" s="3"/>
      <c r="S47" s="3"/>
      <c r="T47" s="3"/>
      <c r="U47" s="3" t="s">
        <v>213</v>
      </c>
      <c r="V47" s="3" t="s">
        <v>97</v>
      </c>
      <c r="W47" s="3" t="s">
        <v>97</v>
      </c>
      <c r="X47" s="3">
        <v>1</v>
      </c>
      <c r="Y47" s="3">
        <v>1</v>
      </c>
      <c r="Z47" s="3" t="s">
        <v>84</v>
      </c>
      <c r="AA47" s="3" t="s">
        <v>85</v>
      </c>
      <c r="AB47" s="3" t="s">
        <v>94</v>
      </c>
      <c r="AC47" s="3" t="s">
        <v>86</v>
      </c>
      <c r="AD47" s="3" t="s">
        <v>87</v>
      </c>
      <c r="AE47" s="3" t="s">
        <v>126</v>
      </c>
      <c r="AF47" s="3" t="s">
        <v>214</v>
      </c>
      <c r="AG47" s="3" t="s">
        <v>162</v>
      </c>
      <c r="AH47" s="10">
        <f>SUM(BJ47,BL47,BR47)</f>
        <v>373</v>
      </c>
      <c r="AI47" s="10">
        <f>SUM(BJ47,BL47)</f>
        <v>373</v>
      </c>
      <c r="AJ47" s="10" t="s">
        <v>94</v>
      </c>
      <c r="AK47" s="10">
        <v>1</v>
      </c>
      <c r="AL47" s="3" t="s">
        <v>206</v>
      </c>
      <c r="AM47" s="3" t="s">
        <v>217</v>
      </c>
      <c r="AN47" s="3" t="s">
        <v>108</v>
      </c>
      <c r="AO47" s="3" t="s">
        <v>179</v>
      </c>
      <c r="AP47" s="3" t="s">
        <v>125</v>
      </c>
      <c r="AQ47" s="3">
        <v>0</v>
      </c>
      <c r="AR47" s="3">
        <v>0</v>
      </c>
      <c r="AS47" s="3" t="s">
        <v>111</v>
      </c>
      <c r="AT47" s="13" t="s">
        <v>94</v>
      </c>
      <c r="AU47" s="13" t="s">
        <v>94</v>
      </c>
      <c r="AV47" s="12">
        <f>LN((BK47/(BL47-BK47))/(BI47/(BJ47-BI47)))*(SQRT(3)/PI())</f>
        <v>-8.1135984533527994E-2</v>
      </c>
      <c r="AW47" s="12" t="s">
        <v>94</v>
      </c>
      <c r="AX47" s="12">
        <v>0.83</v>
      </c>
      <c r="AY47" s="13"/>
      <c r="AZ47" s="13"/>
      <c r="BA47" s="13"/>
      <c r="BB47" s="13"/>
      <c r="BC47" s="10"/>
      <c r="BD47" s="13"/>
      <c r="BE47" s="13"/>
      <c r="BF47" s="13"/>
      <c r="BG47" s="10"/>
      <c r="BH47" s="13"/>
      <c r="BI47" s="16">
        <f>0.7513*BJ47</f>
        <v>141.9957</v>
      </c>
      <c r="BJ47" s="16">
        <v>189</v>
      </c>
      <c r="BK47" s="16">
        <f>0.7228*BL47</f>
        <v>132.99520000000001</v>
      </c>
      <c r="BL47" s="16">
        <v>184</v>
      </c>
      <c r="BM47" s="12" t="s">
        <v>94</v>
      </c>
      <c r="BN47" s="12" t="s">
        <v>94</v>
      </c>
      <c r="BO47" s="12" t="s">
        <v>94</v>
      </c>
      <c r="BP47" s="16" t="s">
        <v>94</v>
      </c>
      <c r="BQ47" s="16" t="s">
        <v>94</v>
      </c>
      <c r="BR47" s="16" t="s">
        <v>94</v>
      </c>
      <c r="BS47" s="3" t="s">
        <v>74</v>
      </c>
      <c r="BT47" s="3">
        <v>0</v>
      </c>
      <c r="BU47" s="3">
        <v>0</v>
      </c>
      <c r="BV47" s="3">
        <v>0</v>
      </c>
      <c r="BW47" s="3">
        <v>0</v>
      </c>
      <c r="BX47" s="3">
        <v>0</v>
      </c>
      <c r="BY47" s="3">
        <v>0</v>
      </c>
      <c r="BZ47" s="3">
        <v>0</v>
      </c>
      <c r="CA47" s="3">
        <v>0</v>
      </c>
      <c r="CB47" s="3">
        <v>0</v>
      </c>
      <c r="CC47" s="3">
        <v>0</v>
      </c>
      <c r="CD47" s="3">
        <v>1</v>
      </c>
      <c r="CE47" s="3">
        <v>0</v>
      </c>
      <c r="CF47" s="3">
        <v>0</v>
      </c>
      <c r="CH47">
        <v>1</v>
      </c>
      <c r="CI47">
        <v>0</v>
      </c>
      <c r="CJ47">
        <v>0</v>
      </c>
    </row>
    <row r="48" spans="1:88" x14ac:dyDescent="0.35">
      <c r="A48" s="3" t="s">
        <v>197</v>
      </c>
      <c r="B48" s="3">
        <v>2</v>
      </c>
      <c r="C48" s="3" t="s">
        <v>211</v>
      </c>
      <c r="D48" s="3">
        <v>1</v>
      </c>
      <c r="E48" s="3">
        <v>2021</v>
      </c>
      <c r="F48" s="3">
        <v>47</v>
      </c>
      <c r="G48" s="3">
        <v>2</v>
      </c>
      <c r="H48" s="3">
        <v>29</v>
      </c>
      <c r="I48" s="3">
        <v>20</v>
      </c>
      <c r="J48" s="3">
        <v>66</v>
      </c>
      <c r="K48" s="3">
        <v>12</v>
      </c>
      <c r="L48" s="3">
        <v>2</v>
      </c>
      <c r="M48" s="3" t="s">
        <v>278</v>
      </c>
      <c r="N48" s="3">
        <v>28</v>
      </c>
      <c r="O48" s="3" t="s">
        <v>212</v>
      </c>
      <c r="P48" s="3"/>
      <c r="Q48" s="3"/>
      <c r="R48" s="3"/>
      <c r="S48" s="3"/>
      <c r="T48" s="3"/>
      <c r="U48" s="3" t="s">
        <v>219</v>
      </c>
      <c r="V48" s="3" t="s">
        <v>97</v>
      </c>
      <c r="W48" s="3" t="s">
        <v>97</v>
      </c>
      <c r="X48" s="3">
        <v>1</v>
      </c>
      <c r="Y48" s="3">
        <v>1</v>
      </c>
      <c r="Z48" s="3" t="s">
        <v>84</v>
      </c>
      <c r="AA48" s="3" t="s">
        <v>85</v>
      </c>
      <c r="AB48" s="3" t="s">
        <v>94</v>
      </c>
      <c r="AC48" s="3" t="s">
        <v>86</v>
      </c>
      <c r="AD48" s="3" t="s">
        <v>87</v>
      </c>
      <c r="AE48" s="3" t="s">
        <v>126</v>
      </c>
      <c r="AF48" s="3" t="s">
        <v>135</v>
      </c>
      <c r="AG48" s="3" t="s">
        <v>162</v>
      </c>
      <c r="AH48" s="10">
        <f>SUM(BJ48,BL48,BR48)</f>
        <v>371</v>
      </c>
      <c r="AI48" s="10">
        <f>SUM(BJ48,BL48)</f>
        <v>371</v>
      </c>
      <c r="AJ48" s="10" t="s">
        <v>94</v>
      </c>
      <c r="AK48" s="10">
        <v>1</v>
      </c>
      <c r="AL48" s="3" t="s">
        <v>206</v>
      </c>
      <c r="AM48" s="3" t="s">
        <v>217</v>
      </c>
      <c r="AN48" s="3" t="s">
        <v>108</v>
      </c>
      <c r="AO48" s="3" t="s">
        <v>179</v>
      </c>
      <c r="AP48" s="3" t="s">
        <v>125</v>
      </c>
      <c r="AQ48" s="3">
        <v>0</v>
      </c>
      <c r="AR48" s="3">
        <v>0</v>
      </c>
      <c r="AS48" s="3" t="s">
        <v>111</v>
      </c>
      <c r="AT48" s="13" t="s">
        <v>94</v>
      </c>
      <c r="AU48" s="13" t="s">
        <v>94</v>
      </c>
      <c r="AV48" s="12">
        <f>LN((BK48/(BL48-BK48))/(BI48/(BJ48-BI48)))*(SQRT(3)/PI())</f>
        <v>9.4863684594443817E-2</v>
      </c>
      <c r="AW48" s="12" t="s">
        <v>94</v>
      </c>
      <c r="AX48" s="12">
        <v>0.44</v>
      </c>
      <c r="AY48" s="13"/>
      <c r="AZ48" s="13"/>
      <c r="BA48" s="13"/>
      <c r="BB48" s="13"/>
      <c r="BC48" s="10"/>
      <c r="BD48" s="13"/>
      <c r="BE48" s="13"/>
      <c r="BF48" s="13"/>
      <c r="BG48" s="10"/>
      <c r="BH48" s="13"/>
      <c r="BI48" s="16">
        <f>0.2996*BJ48</f>
        <v>56.025199999999998</v>
      </c>
      <c r="BJ48" s="16">
        <v>187</v>
      </c>
      <c r="BK48" s="16">
        <f>0.3369*BL48</f>
        <v>61.989599999999996</v>
      </c>
      <c r="BL48" s="16">
        <v>184</v>
      </c>
      <c r="BM48" s="12" t="s">
        <v>94</v>
      </c>
      <c r="BN48" s="12" t="s">
        <v>94</v>
      </c>
      <c r="BO48" s="12" t="s">
        <v>94</v>
      </c>
      <c r="BP48" s="16" t="s">
        <v>94</v>
      </c>
      <c r="BQ48" s="16" t="s">
        <v>94</v>
      </c>
      <c r="BR48" s="16" t="s">
        <v>94</v>
      </c>
      <c r="BS48" s="3" t="s">
        <v>74</v>
      </c>
      <c r="BT48" s="3">
        <v>0</v>
      </c>
      <c r="BU48" s="3">
        <v>0</v>
      </c>
      <c r="BV48" s="3">
        <v>0</v>
      </c>
      <c r="BW48" s="3">
        <v>0</v>
      </c>
      <c r="BX48" s="3">
        <v>0</v>
      </c>
      <c r="BY48" s="3">
        <v>0</v>
      </c>
      <c r="BZ48" s="3">
        <v>0</v>
      </c>
      <c r="CA48" s="3">
        <v>0</v>
      </c>
      <c r="CB48" s="3">
        <v>0</v>
      </c>
      <c r="CC48" s="3">
        <v>0</v>
      </c>
      <c r="CD48" s="3">
        <v>1</v>
      </c>
      <c r="CE48" s="3">
        <v>0</v>
      </c>
      <c r="CF48" s="3">
        <v>0</v>
      </c>
      <c r="CH48">
        <v>1</v>
      </c>
      <c r="CI48">
        <v>0</v>
      </c>
      <c r="CJ48">
        <v>0</v>
      </c>
    </row>
    <row r="49" spans="1:88" x14ac:dyDescent="0.35">
      <c r="A49" s="3" t="s">
        <v>197</v>
      </c>
      <c r="B49" s="3">
        <v>2</v>
      </c>
      <c r="C49" s="3" t="s">
        <v>211</v>
      </c>
      <c r="D49" s="3">
        <v>1</v>
      </c>
      <c r="E49" s="3">
        <v>2021</v>
      </c>
      <c r="F49" s="3">
        <v>48</v>
      </c>
      <c r="G49" s="3">
        <v>2</v>
      </c>
      <c r="H49" s="3">
        <v>29</v>
      </c>
      <c r="I49" s="3">
        <v>20</v>
      </c>
      <c r="J49" s="3">
        <v>65</v>
      </c>
      <c r="K49" s="3">
        <v>12</v>
      </c>
      <c r="L49" s="3">
        <v>2</v>
      </c>
      <c r="M49" s="3" t="s">
        <v>278</v>
      </c>
      <c r="N49" s="3">
        <v>28</v>
      </c>
      <c r="O49" s="3" t="s">
        <v>212</v>
      </c>
      <c r="P49" s="3"/>
      <c r="Q49" s="3"/>
      <c r="R49" s="3"/>
      <c r="S49" s="3"/>
      <c r="T49" s="3"/>
      <c r="U49" s="3" t="s">
        <v>218</v>
      </c>
      <c r="V49" s="3" t="s">
        <v>82</v>
      </c>
      <c r="W49" s="3" t="s">
        <v>177</v>
      </c>
      <c r="X49" s="3">
        <v>1</v>
      </c>
      <c r="Y49" s="3">
        <v>0</v>
      </c>
      <c r="Z49" s="3" t="s">
        <v>84</v>
      </c>
      <c r="AA49" s="3" t="s">
        <v>85</v>
      </c>
      <c r="AB49" s="3" t="s">
        <v>94</v>
      </c>
      <c r="AC49" s="3" t="s">
        <v>86</v>
      </c>
      <c r="AD49" s="3" t="s">
        <v>87</v>
      </c>
      <c r="AE49" s="3" t="s">
        <v>126</v>
      </c>
      <c r="AF49" s="3" t="s">
        <v>214</v>
      </c>
      <c r="AG49" s="3" t="s">
        <v>162</v>
      </c>
      <c r="AH49" s="10">
        <f t="shared" ref="AH49:AH60" si="9">SUM(BC49,BG49,BP49)</f>
        <v>373</v>
      </c>
      <c r="AI49" s="10">
        <f t="shared" ref="AI49:AI60" si="10">SUM(BC49,BG49)</f>
        <v>373</v>
      </c>
      <c r="AJ49" s="10" t="s">
        <v>94</v>
      </c>
      <c r="AK49" s="10">
        <v>1</v>
      </c>
      <c r="AL49" s="3" t="s">
        <v>206</v>
      </c>
      <c r="AM49" s="3" t="s">
        <v>217</v>
      </c>
      <c r="AN49" s="3" t="s">
        <v>108</v>
      </c>
      <c r="AO49" s="3" t="s">
        <v>179</v>
      </c>
      <c r="AP49" s="3" t="s">
        <v>125</v>
      </c>
      <c r="AQ49" s="3">
        <v>1</v>
      </c>
      <c r="AR49" s="3">
        <v>0</v>
      </c>
      <c r="AS49" s="3" t="s">
        <v>92</v>
      </c>
      <c r="AT49" s="13" t="s">
        <v>94</v>
      </c>
      <c r="AU49" s="13" t="s">
        <v>94</v>
      </c>
      <c r="AV49" s="12">
        <f t="shared" ref="AV49:AV60" si="11">(BD49-AZ49)/(SQRT((BB49^2+BF49^2)/2))</f>
        <v>0.34692652629346971</v>
      </c>
      <c r="AW49" s="12" t="s">
        <v>94</v>
      </c>
      <c r="AX49" s="12">
        <v>4.0000000000000001E-3</v>
      </c>
      <c r="AY49" s="13"/>
      <c r="AZ49" s="3">
        <v>4.91</v>
      </c>
      <c r="BA49" s="13"/>
      <c r="BB49" s="3">
        <v>1.34</v>
      </c>
      <c r="BC49" s="10">
        <v>189</v>
      </c>
      <c r="BD49" s="3">
        <v>5.34</v>
      </c>
      <c r="BE49" s="13"/>
      <c r="BF49" s="3">
        <v>1.1299999999999999</v>
      </c>
      <c r="BG49" s="10">
        <v>184</v>
      </c>
      <c r="BH49" s="13"/>
      <c r="BI49" s="10"/>
      <c r="BJ49" s="10"/>
      <c r="BK49" s="10"/>
      <c r="BL49" s="10"/>
      <c r="BM49" s="12" t="s">
        <v>94</v>
      </c>
      <c r="BN49" s="12" t="s">
        <v>94</v>
      </c>
      <c r="BO49" s="12" t="s">
        <v>94</v>
      </c>
      <c r="BP49" s="16" t="s">
        <v>94</v>
      </c>
      <c r="BQ49" s="16" t="s">
        <v>94</v>
      </c>
      <c r="BR49" s="16" t="s">
        <v>94</v>
      </c>
      <c r="BS49" s="3" t="s">
        <v>74</v>
      </c>
      <c r="BT49" s="3">
        <v>0</v>
      </c>
      <c r="BU49" s="3">
        <v>0</v>
      </c>
      <c r="BV49" s="3">
        <v>0</v>
      </c>
      <c r="BW49" s="3">
        <v>0</v>
      </c>
      <c r="BX49" s="3">
        <v>0</v>
      </c>
      <c r="BY49" s="3">
        <v>0</v>
      </c>
      <c r="BZ49" s="3">
        <v>0</v>
      </c>
      <c r="CA49" s="3">
        <v>0</v>
      </c>
      <c r="CB49" s="3">
        <v>0</v>
      </c>
      <c r="CC49" s="3">
        <v>0</v>
      </c>
      <c r="CD49" s="3">
        <v>1</v>
      </c>
      <c r="CE49" s="3">
        <v>0</v>
      </c>
      <c r="CF49" s="3">
        <v>0</v>
      </c>
      <c r="CH49">
        <v>1</v>
      </c>
      <c r="CI49">
        <v>0</v>
      </c>
      <c r="CJ49">
        <v>0</v>
      </c>
    </row>
    <row r="50" spans="1:88" ht="14.5" customHeight="1" x14ac:dyDescent="0.35">
      <c r="A50" s="3" t="s">
        <v>271</v>
      </c>
      <c r="B50" s="3">
        <v>1</v>
      </c>
      <c r="C50" s="3" t="s">
        <v>198</v>
      </c>
      <c r="D50" s="3">
        <v>0</v>
      </c>
      <c r="E50" s="3">
        <v>2021</v>
      </c>
      <c r="F50" s="3">
        <v>49</v>
      </c>
      <c r="G50" s="3">
        <v>1</v>
      </c>
      <c r="H50" s="3">
        <v>24</v>
      </c>
      <c r="I50" s="3">
        <v>21</v>
      </c>
      <c r="J50" s="3">
        <v>45</v>
      </c>
      <c r="K50" s="3">
        <v>13</v>
      </c>
      <c r="L50" s="3">
        <v>2</v>
      </c>
      <c r="M50" s="3" t="s">
        <v>278</v>
      </c>
      <c r="N50" s="3">
        <v>25</v>
      </c>
      <c r="O50" s="3" t="s">
        <v>199</v>
      </c>
      <c r="P50" s="3"/>
      <c r="Q50" s="3"/>
      <c r="R50" s="3"/>
      <c r="S50" s="3"/>
      <c r="T50" s="3"/>
      <c r="U50" s="3" t="s">
        <v>200</v>
      </c>
      <c r="V50" s="3" t="s">
        <v>82</v>
      </c>
      <c r="W50" s="3" t="s">
        <v>201</v>
      </c>
      <c r="X50" s="3">
        <v>1</v>
      </c>
      <c r="Y50" s="3">
        <v>0</v>
      </c>
      <c r="Z50" s="3" t="s">
        <v>84</v>
      </c>
      <c r="AA50" s="3" t="s">
        <v>85</v>
      </c>
      <c r="AB50" s="3" t="s">
        <v>94</v>
      </c>
      <c r="AC50" s="3" t="s">
        <v>86</v>
      </c>
      <c r="AD50" s="3" t="s">
        <v>87</v>
      </c>
      <c r="AE50" s="3">
        <v>0</v>
      </c>
      <c r="AF50" s="3" t="s">
        <v>88</v>
      </c>
      <c r="AG50" s="3" t="s">
        <v>88</v>
      </c>
      <c r="AH50" s="10">
        <f t="shared" si="9"/>
        <v>280</v>
      </c>
      <c r="AI50" s="10">
        <f t="shared" si="10"/>
        <v>179</v>
      </c>
      <c r="AJ50" s="10">
        <f t="shared" ref="AJ50:AJ60" si="12">SUM(BP50,BC50)</f>
        <v>188</v>
      </c>
      <c r="AK50" s="10">
        <v>1</v>
      </c>
      <c r="AL50" s="3" t="s">
        <v>202</v>
      </c>
      <c r="AM50" s="3" t="s">
        <v>203</v>
      </c>
      <c r="AN50" s="3" t="s">
        <v>108</v>
      </c>
      <c r="AO50" s="3" t="s">
        <v>186</v>
      </c>
      <c r="AP50" s="3" t="s">
        <v>125</v>
      </c>
      <c r="AQ50" s="3">
        <v>0</v>
      </c>
      <c r="AR50" s="3">
        <v>0</v>
      </c>
      <c r="AS50" s="3" t="s">
        <v>92</v>
      </c>
      <c r="AT50" s="13" t="s">
        <v>94</v>
      </c>
      <c r="AU50" s="13" t="s">
        <v>94</v>
      </c>
      <c r="AV50" s="12">
        <f t="shared" si="11"/>
        <v>-0.31846487764924125</v>
      </c>
      <c r="AW50" s="12">
        <f t="shared" ref="AW50:AW60" si="13">(AZ50-BM50)/(SQRT((BO50^2+BB50^2)/2))</f>
        <v>0.42422690666018992</v>
      </c>
      <c r="AX50" s="12">
        <v>0.16900000000000001</v>
      </c>
      <c r="AY50" s="13"/>
      <c r="AZ50" s="3">
        <v>8.17</v>
      </c>
      <c r="BA50" s="13"/>
      <c r="BB50" s="3">
        <v>1.04</v>
      </c>
      <c r="BC50" s="10">
        <v>87</v>
      </c>
      <c r="BD50" s="3">
        <v>7.77</v>
      </c>
      <c r="BE50" s="13"/>
      <c r="BF50" s="3">
        <v>1.44</v>
      </c>
      <c r="BG50" s="10">
        <v>92</v>
      </c>
      <c r="BH50" s="13"/>
      <c r="BI50" s="10"/>
      <c r="BJ50" s="10"/>
      <c r="BK50" s="10"/>
      <c r="BL50" s="10"/>
      <c r="BM50" s="3">
        <v>7.62</v>
      </c>
      <c r="BN50" s="13"/>
      <c r="BO50" s="3">
        <v>1.51</v>
      </c>
      <c r="BP50" s="10">
        <v>101</v>
      </c>
      <c r="BQ50" s="16"/>
      <c r="BR50" s="16"/>
      <c r="BS50" s="3" t="s">
        <v>68</v>
      </c>
      <c r="BT50" s="3">
        <v>0</v>
      </c>
      <c r="BU50" s="3">
        <v>0</v>
      </c>
      <c r="BV50" s="3">
        <v>0</v>
      </c>
      <c r="BW50" s="3">
        <v>0</v>
      </c>
      <c r="BX50" s="3">
        <v>1</v>
      </c>
      <c r="BY50" s="3">
        <v>0</v>
      </c>
      <c r="BZ50" s="3">
        <v>0</v>
      </c>
      <c r="CA50" s="3">
        <v>0</v>
      </c>
      <c r="CB50" s="3">
        <v>0</v>
      </c>
      <c r="CC50" s="3">
        <v>0</v>
      </c>
      <c r="CD50" s="3">
        <v>0</v>
      </c>
      <c r="CE50" s="3">
        <v>0</v>
      </c>
      <c r="CF50" s="3">
        <v>0</v>
      </c>
      <c r="CH50">
        <v>1</v>
      </c>
      <c r="CI50" s="3">
        <v>0</v>
      </c>
      <c r="CJ50">
        <v>1</v>
      </c>
    </row>
    <row r="51" spans="1:88" ht="14.5" customHeight="1" x14ac:dyDescent="0.35">
      <c r="A51" s="3" t="s">
        <v>271</v>
      </c>
      <c r="B51" s="3">
        <v>1</v>
      </c>
      <c r="C51" s="3" t="s">
        <v>198</v>
      </c>
      <c r="D51" s="3">
        <v>0</v>
      </c>
      <c r="E51" s="3">
        <v>2021</v>
      </c>
      <c r="F51" s="3">
        <v>50</v>
      </c>
      <c r="G51" s="3">
        <v>1</v>
      </c>
      <c r="H51" s="3">
        <v>24</v>
      </c>
      <c r="I51" s="3">
        <v>21</v>
      </c>
      <c r="J51" s="3">
        <v>43</v>
      </c>
      <c r="K51" s="3">
        <v>13</v>
      </c>
      <c r="L51" s="3">
        <v>2</v>
      </c>
      <c r="M51" s="3" t="s">
        <v>278</v>
      </c>
      <c r="N51" s="3">
        <v>25</v>
      </c>
      <c r="O51" s="3" t="s">
        <v>199</v>
      </c>
      <c r="P51" s="3"/>
      <c r="Q51" s="3"/>
      <c r="R51" s="3"/>
      <c r="S51" s="3"/>
      <c r="T51" s="3"/>
      <c r="U51" s="3" t="s">
        <v>204</v>
      </c>
      <c r="V51" s="3" t="s">
        <v>97</v>
      </c>
      <c r="W51" s="3" t="s">
        <v>97</v>
      </c>
      <c r="X51" s="3">
        <v>1</v>
      </c>
      <c r="Y51" s="3">
        <v>0</v>
      </c>
      <c r="Z51" s="3" t="s">
        <v>84</v>
      </c>
      <c r="AA51" s="3" t="s">
        <v>85</v>
      </c>
      <c r="AB51" s="3" t="s">
        <v>94</v>
      </c>
      <c r="AC51" s="3" t="s">
        <v>86</v>
      </c>
      <c r="AD51" s="3" t="s">
        <v>87</v>
      </c>
      <c r="AE51" s="3">
        <v>0</v>
      </c>
      <c r="AF51" s="3" t="s">
        <v>88</v>
      </c>
      <c r="AG51" s="3" t="s">
        <v>88</v>
      </c>
      <c r="AH51" s="10">
        <f t="shared" si="9"/>
        <v>280</v>
      </c>
      <c r="AI51" s="10">
        <f t="shared" si="10"/>
        <v>179</v>
      </c>
      <c r="AJ51" s="10">
        <f t="shared" si="12"/>
        <v>188</v>
      </c>
      <c r="AK51" s="10">
        <v>1</v>
      </c>
      <c r="AL51" s="3" t="s">
        <v>202</v>
      </c>
      <c r="AM51" s="3" t="s">
        <v>203</v>
      </c>
      <c r="AN51" s="3" t="s">
        <v>108</v>
      </c>
      <c r="AO51" s="3" t="s">
        <v>186</v>
      </c>
      <c r="AP51" s="3" t="s">
        <v>125</v>
      </c>
      <c r="AQ51" s="3">
        <v>0</v>
      </c>
      <c r="AR51" s="3">
        <v>0</v>
      </c>
      <c r="AS51" s="3" t="s">
        <v>92</v>
      </c>
      <c r="AT51" s="13" t="s">
        <v>94</v>
      </c>
      <c r="AU51" s="13" t="s">
        <v>94</v>
      </c>
      <c r="AV51" s="12">
        <f t="shared" si="11"/>
        <v>-0.24708637410363166</v>
      </c>
      <c r="AW51" s="12">
        <f t="shared" si="13"/>
        <v>1.1208596813104801</v>
      </c>
      <c r="AX51" s="12">
        <v>0.36099999999999999</v>
      </c>
      <c r="AY51" s="13"/>
      <c r="AZ51" s="3">
        <v>7.78</v>
      </c>
      <c r="BA51" s="13"/>
      <c r="BB51" s="3">
        <v>2.39</v>
      </c>
      <c r="BC51" s="10">
        <v>87</v>
      </c>
      <c r="BD51" s="3">
        <v>7.15</v>
      </c>
      <c r="BE51" s="13"/>
      <c r="BF51" s="3">
        <v>2.7</v>
      </c>
      <c r="BG51" s="10">
        <v>92</v>
      </c>
      <c r="BH51" s="13"/>
      <c r="BI51" s="10"/>
      <c r="BJ51" s="10"/>
      <c r="BK51" s="10"/>
      <c r="BL51" s="10"/>
      <c r="BM51" s="3">
        <v>4.74</v>
      </c>
      <c r="BN51" s="13"/>
      <c r="BO51" s="13">
        <v>3</v>
      </c>
      <c r="BP51" s="10">
        <v>101</v>
      </c>
      <c r="BQ51" s="16"/>
      <c r="BR51" s="16"/>
      <c r="BS51" s="3" t="s">
        <v>68</v>
      </c>
      <c r="BT51" s="3">
        <v>0</v>
      </c>
      <c r="BU51" s="3">
        <v>0</v>
      </c>
      <c r="BV51" s="3">
        <v>0</v>
      </c>
      <c r="BW51" s="3">
        <v>0</v>
      </c>
      <c r="BX51" s="3">
        <v>1</v>
      </c>
      <c r="BY51" s="3">
        <v>0</v>
      </c>
      <c r="BZ51" s="3">
        <v>0</v>
      </c>
      <c r="CA51" s="3">
        <v>0</v>
      </c>
      <c r="CB51" s="3">
        <v>0</v>
      </c>
      <c r="CC51" s="3">
        <v>0</v>
      </c>
      <c r="CD51" s="3">
        <v>0</v>
      </c>
      <c r="CE51" s="3">
        <v>0</v>
      </c>
      <c r="CF51" s="3">
        <v>0</v>
      </c>
      <c r="CH51">
        <v>1</v>
      </c>
      <c r="CI51" s="3">
        <v>0</v>
      </c>
      <c r="CJ51">
        <v>1</v>
      </c>
    </row>
    <row r="52" spans="1:88" x14ac:dyDescent="0.35">
      <c r="A52" s="3" t="s">
        <v>271</v>
      </c>
      <c r="B52" s="3">
        <v>1</v>
      </c>
      <c r="C52" s="3" t="s">
        <v>198</v>
      </c>
      <c r="D52" s="3">
        <v>0</v>
      </c>
      <c r="E52" s="3">
        <v>2021</v>
      </c>
      <c r="F52" s="3">
        <v>51</v>
      </c>
      <c r="G52" s="3">
        <v>1</v>
      </c>
      <c r="H52" s="3">
        <v>24</v>
      </c>
      <c r="I52" s="3">
        <v>21</v>
      </c>
      <c r="J52" s="3">
        <v>44</v>
      </c>
      <c r="K52" s="3">
        <v>13</v>
      </c>
      <c r="L52" s="3">
        <v>2</v>
      </c>
      <c r="M52" s="3" t="s">
        <v>278</v>
      </c>
      <c r="N52" s="3">
        <v>25</v>
      </c>
      <c r="O52" s="3" t="s">
        <v>199</v>
      </c>
      <c r="P52" s="3"/>
      <c r="Q52" s="3"/>
      <c r="R52" s="3"/>
      <c r="S52" s="3"/>
      <c r="T52" s="3"/>
      <c r="U52" s="3" t="s">
        <v>208</v>
      </c>
      <c r="V52" s="3" t="s">
        <v>82</v>
      </c>
      <c r="W52" s="3" t="s">
        <v>83</v>
      </c>
      <c r="X52" s="3">
        <v>1</v>
      </c>
      <c r="Y52" s="3">
        <v>0</v>
      </c>
      <c r="Z52" s="3" t="s">
        <v>84</v>
      </c>
      <c r="AA52" s="3" t="s">
        <v>85</v>
      </c>
      <c r="AB52" s="3" t="s">
        <v>94</v>
      </c>
      <c r="AC52" s="3" t="s">
        <v>86</v>
      </c>
      <c r="AD52" s="3" t="s">
        <v>87</v>
      </c>
      <c r="AE52" s="3">
        <v>0</v>
      </c>
      <c r="AF52" s="3" t="s">
        <v>88</v>
      </c>
      <c r="AG52" s="3" t="s">
        <v>88</v>
      </c>
      <c r="AH52" s="10">
        <f t="shared" si="9"/>
        <v>280</v>
      </c>
      <c r="AI52" s="10">
        <f t="shared" si="10"/>
        <v>179</v>
      </c>
      <c r="AJ52" s="10">
        <f t="shared" si="12"/>
        <v>188</v>
      </c>
      <c r="AK52" s="10">
        <v>1</v>
      </c>
      <c r="AL52" s="3" t="s">
        <v>202</v>
      </c>
      <c r="AM52" s="3" t="s">
        <v>203</v>
      </c>
      <c r="AN52" s="3" t="s">
        <v>108</v>
      </c>
      <c r="AO52" s="3" t="s">
        <v>186</v>
      </c>
      <c r="AP52" s="3" t="s">
        <v>125</v>
      </c>
      <c r="AQ52" s="3">
        <v>0</v>
      </c>
      <c r="AR52" s="3">
        <v>0</v>
      </c>
      <c r="AS52" s="3" t="s">
        <v>92</v>
      </c>
      <c r="AT52" s="13" t="s">
        <v>94</v>
      </c>
      <c r="AU52" s="13" t="s">
        <v>94</v>
      </c>
      <c r="AV52" s="12">
        <f t="shared" si="11"/>
        <v>-3.8461538461538325E-2</v>
      </c>
      <c r="AW52" s="12">
        <f t="shared" si="13"/>
        <v>0.16160750859284073</v>
      </c>
      <c r="AX52" s="12">
        <v>0.57799999999999996</v>
      </c>
      <c r="AY52" s="13"/>
      <c r="AZ52" s="3">
        <v>7.87</v>
      </c>
      <c r="BA52" s="13"/>
      <c r="BB52" s="3">
        <v>1.3</v>
      </c>
      <c r="BC52" s="10">
        <v>87</v>
      </c>
      <c r="BD52" s="3">
        <v>7.82</v>
      </c>
      <c r="BE52" s="13"/>
      <c r="BF52" s="3">
        <v>1.3</v>
      </c>
      <c r="BG52" s="10">
        <v>92</v>
      </c>
      <c r="BH52" s="13"/>
      <c r="BI52" s="10"/>
      <c r="BJ52" s="10"/>
      <c r="BK52" s="10"/>
      <c r="BL52" s="10"/>
      <c r="BM52" s="3">
        <v>7.65</v>
      </c>
      <c r="BN52" s="13"/>
      <c r="BO52" s="3">
        <v>1.42</v>
      </c>
      <c r="BP52" s="10">
        <v>101</v>
      </c>
      <c r="BQ52" s="16"/>
      <c r="BR52" s="16"/>
      <c r="BS52" s="3" t="s">
        <v>68</v>
      </c>
      <c r="BT52" s="3">
        <v>0</v>
      </c>
      <c r="BU52" s="3">
        <v>0</v>
      </c>
      <c r="BV52" s="3">
        <v>0</v>
      </c>
      <c r="BW52" s="3">
        <v>0</v>
      </c>
      <c r="BX52" s="3">
        <v>1</v>
      </c>
      <c r="BY52" s="3">
        <v>0</v>
      </c>
      <c r="BZ52" s="3">
        <v>0</v>
      </c>
      <c r="CA52" s="3">
        <v>0</v>
      </c>
      <c r="CB52" s="3">
        <v>0</v>
      </c>
      <c r="CC52" s="3">
        <v>0</v>
      </c>
      <c r="CD52" s="3">
        <v>0</v>
      </c>
      <c r="CE52" s="3">
        <v>0</v>
      </c>
      <c r="CF52" s="3">
        <v>0</v>
      </c>
      <c r="CH52">
        <v>1</v>
      </c>
      <c r="CI52" s="3">
        <v>0</v>
      </c>
      <c r="CJ52">
        <v>1</v>
      </c>
    </row>
    <row r="53" spans="1:88" ht="14.5" customHeight="1" x14ac:dyDescent="0.35">
      <c r="A53" s="3" t="s">
        <v>271</v>
      </c>
      <c r="B53" s="3">
        <v>1</v>
      </c>
      <c r="C53" s="3" t="s">
        <v>198</v>
      </c>
      <c r="D53" s="3">
        <v>0</v>
      </c>
      <c r="E53" s="3">
        <v>2021</v>
      </c>
      <c r="F53" s="3">
        <v>52</v>
      </c>
      <c r="G53" s="3">
        <v>1</v>
      </c>
      <c r="H53" s="3">
        <v>24</v>
      </c>
      <c r="I53" s="3">
        <v>21</v>
      </c>
      <c r="J53" s="3">
        <v>46</v>
      </c>
      <c r="K53" s="3">
        <v>13</v>
      </c>
      <c r="L53" s="3">
        <v>2</v>
      </c>
      <c r="M53" s="3" t="s">
        <v>278</v>
      </c>
      <c r="N53" s="3">
        <v>25</v>
      </c>
      <c r="O53" s="3" t="s">
        <v>199</v>
      </c>
      <c r="P53" s="3"/>
      <c r="Q53" s="3"/>
      <c r="R53" s="3"/>
      <c r="S53" s="3"/>
      <c r="T53" s="3"/>
      <c r="U53" s="3" t="s">
        <v>98</v>
      </c>
      <c r="V53" s="3" t="s">
        <v>82</v>
      </c>
      <c r="W53" s="3" t="s">
        <v>83</v>
      </c>
      <c r="X53" s="3">
        <v>-1</v>
      </c>
      <c r="Y53" s="3">
        <v>0</v>
      </c>
      <c r="Z53" s="3" t="s">
        <v>84</v>
      </c>
      <c r="AA53" s="3" t="s">
        <v>85</v>
      </c>
      <c r="AB53" s="3" t="s">
        <v>94</v>
      </c>
      <c r="AC53" s="3" t="s">
        <v>86</v>
      </c>
      <c r="AD53" s="3" t="s">
        <v>87</v>
      </c>
      <c r="AE53" s="3">
        <v>0</v>
      </c>
      <c r="AF53" s="3" t="s">
        <v>88</v>
      </c>
      <c r="AG53" s="3" t="s">
        <v>88</v>
      </c>
      <c r="AH53" s="10">
        <f t="shared" si="9"/>
        <v>280</v>
      </c>
      <c r="AI53" s="10">
        <f t="shared" si="10"/>
        <v>179</v>
      </c>
      <c r="AJ53" s="10">
        <f t="shared" si="12"/>
        <v>188</v>
      </c>
      <c r="AK53" s="10">
        <v>1</v>
      </c>
      <c r="AL53" s="3" t="s">
        <v>202</v>
      </c>
      <c r="AM53" s="3" t="s">
        <v>203</v>
      </c>
      <c r="AN53" s="3" t="s">
        <v>108</v>
      </c>
      <c r="AO53" s="3" t="s">
        <v>186</v>
      </c>
      <c r="AP53" s="3" t="s">
        <v>125</v>
      </c>
      <c r="AQ53" s="3">
        <v>0</v>
      </c>
      <c r="AR53" s="3">
        <v>0</v>
      </c>
      <c r="AS53" s="3" t="s">
        <v>92</v>
      </c>
      <c r="AT53" s="13" t="s">
        <v>94</v>
      </c>
      <c r="AU53" s="13" t="s">
        <v>94</v>
      </c>
      <c r="AV53" s="12">
        <f t="shared" si="11"/>
        <v>9.0424252721634055E-2</v>
      </c>
      <c r="AW53" s="12">
        <f t="shared" si="13"/>
        <v>6.6085367216223614E-2</v>
      </c>
      <c r="AX53" s="12">
        <v>0.51300000000000001</v>
      </c>
      <c r="AY53" s="13"/>
      <c r="AZ53" s="3">
        <v>2.35</v>
      </c>
      <c r="BA53" s="13"/>
      <c r="BB53" s="3">
        <v>1.87</v>
      </c>
      <c r="BC53" s="10">
        <v>87</v>
      </c>
      <c r="BD53" s="3">
        <v>2.52</v>
      </c>
      <c r="BE53" s="13"/>
      <c r="BF53" s="3">
        <v>1.89</v>
      </c>
      <c r="BG53" s="10">
        <v>92</v>
      </c>
      <c r="BH53" s="13"/>
      <c r="BI53" s="10"/>
      <c r="BJ53" s="10"/>
      <c r="BK53" s="10"/>
      <c r="BL53" s="10"/>
      <c r="BM53" s="3">
        <v>2.23</v>
      </c>
      <c r="BN53" s="13"/>
      <c r="BO53" s="3">
        <v>1.76</v>
      </c>
      <c r="BP53" s="10">
        <v>101</v>
      </c>
      <c r="BQ53" s="16"/>
      <c r="BR53" s="16"/>
      <c r="BS53" s="3" t="s">
        <v>68</v>
      </c>
      <c r="BT53" s="3">
        <v>0</v>
      </c>
      <c r="BU53" s="3">
        <v>0</v>
      </c>
      <c r="BV53" s="3">
        <v>0</v>
      </c>
      <c r="BW53" s="3">
        <v>0</v>
      </c>
      <c r="BX53" s="3">
        <v>1</v>
      </c>
      <c r="BY53" s="3">
        <v>0</v>
      </c>
      <c r="BZ53" s="3">
        <v>0</v>
      </c>
      <c r="CA53" s="3">
        <v>0</v>
      </c>
      <c r="CB53" s="3">
        <v>0</v>
      </c>
      <c r="CC53" s="3">
        <v>0</v>
      </c>
      <c r="CD53" s="3">
        <v>0</v>
      </c>
      <c r="CE53" s="3">
        <v>0</v>
      </c>
      <c r="CF53" s="3">
        <v>0</v>
      </c>
      <c r="CH53">
        <v>1</v>
      </c>
      <c r="CI53">
        <v>0</v>
      </c>
      <c r="CJ53">
        <v>1</v>
      </c>
    </row>
    <row r="54" spans="1:88" ht="14.5" customHeight="1" x14ac:dyDescent="0.35">
      <c r="A54" s="3" t="s">
        <v>271</v>
      </c>
      <c r="B54" s="3">
        <v>1</v>
      </c>
      <c r="C54" s="3" t="s">
        <v>198</v>
      </c>
      <c r="D54" s="3">
        <v>0</v>
      </c>
      <c r="E54" s="3">
        <v>2021</v>
      </c>
      <c r="F54" s="3">
        <v>53</v>
      </c>
      <c r="G54" s="3">
        <v>1</v>
      </c>
      <c r="H54" s="3">
        <v>24</v>
      </c>
      <c r="I54" s="3">
        <v>22</v>
      </c>
      <c r="J54" s="3">
        <v>44</v>
      </c>
      <c r="K54" s="3">
        <v>13</v>
      </c>
      <c r="L54" s="3">
        <v>2</v>
      </c>
      <c r="M54" s="3" t="s">
        <v>278</v>
      </c>
      <c r="N54" s="3">
        <v>25</v>
      </c>
      <c r="O54" s="3" t="s">
        <v>199</v>
      </c>
      <c r="P54" s="3"/>
      <c r="Q54" s="3"/>
      <c r="R54" s="3"/>
      <c r="S54" s="3"/>
      <c r="T54" s="3"/>
      <c r="U54" s="3" t="s">
        <v>208</v>
      </c>
      <c r="V54" s="3" t="s">
        <v>82</v>
      </c>
      <c r="W54" s="3" t="s">
        <v>83</v>
      </c>
      <c r="X54" s="3">
        <v>1</v>
      </c>
      <c r="Y54" s="3">
        <v>0</v>
      </c>
      <c r="Z54" s="3" t="s">
        <v>84</v>
      </c>
      <c r="AA54" s="3" t="s">
        <v>127</v>
      </c>
      <c r="AB54" s="3">
        <v>0</v>
      </c>
      <c r="AC54" s="3" t="s">
        <v>86</v>
      </c>
      <c r="AD54" s="3" t="s">
        <v>87</v>
      </c>
      <c r="AE54" s="3">
        <v>0</v>
      </c>
      <c r="AF54" s="3" t="s">
        <v>88</v>
      </c>
      <c r="AG54" s="3" t="s">
        <v>88</v>
      </c>
      <c r="AH54" s="10">
        <f t="shared" si="9"/>
        <v>325</v>
      </c>
      <c r="AI54" s="10">
        <f t="shared" si="10"/>
        <v>224</v>
      </c>
      <c r="AJ54" s="10">
        <f t="shared" si="12"/>
        <v>217</v>
      </c>
      <c r="AK54" s="10">
        <v>1</v>
      </c>
      <c r="AL54" s="3" t="s">
        <v>202</v>
      </c>
      <c r="AM54" s="3" t="s">
        <v>203</v>
      </c>
      <c r="AN54" s="3" t="s">
        <v>108</v>
      </c>
      <c r="AO54" s="3" t="s">
        <v>186</v>
      </c>
      <c r="AP54" s="3" t="s">
        <v>125</v>
      </c>
      <c r="AQ54" s="3">
        <v>0</v>
      </c>
      <c r="AR54" s="3">
        <v>0</v>
      </c>
      <c r="AS54" s="3" t="s">
        <v>92</v>
      </c>
      <c r="AT54" s="13" t="s">
        <v>94</v>
      </c>
      <c r="AU54" s="13" t="s">
        <v>94</v>
      </c>
      <c r="AV54" s="12">
        <f t="shared" si="11"/>
        <v>6.8484147490388558E-2</v>
      </c>
      <c r="AW54" s="12">
        <f t="shared" si="13"/>
        <v>-0.15479013799983282</v>
      </c>
      <c r="AX54" s="12">
        <v>0.57799999999999996</v>
      </c>
      <c r="AY54" s="13"/>
      <c r="AZ54" s="3">
        <v>7.45</v>
      </c>
      <c r="BA54" s="13"/>
      <c r="BB54" s="3">
        <v>1.1499999999999999</v>
      </c>
      <c r="BC54" s="10">
        <v>116</v>
      </c>
      <c r="BD54" s="3">
        <v>7.54</v>
      </c>
      <c r="BE54" s="13"/>
      <c r="BF54" s="3">
        <v>1.46</v>
      </c>
      <c r="BG54" s="10">
        <v>108</v>
      </c>
      <c r="BH54" s="13"/>
      <c r="BI54" s="10"/>
      <c r="BJ54" s="10"/>
      <c r="BK54" s="10"/>
      <c r="BL54" s="10"/>
      <c r="BM54" s="3">
        <v>7.65</v>
      </c>
      <c r="BN54" s="13"/>
      <c r="BO54" s="3">
        <v>1.42</v>
      </c>
      <c r="BP54" s="10">
        <v>101</v>
      </c>
      <c r="BQ54" s="16"/>
      <c r="BR54" s="16"/>
      <c r="BS54" s="3" t="s">
        <v>68</v>
      </c>
      <c r="BT54" s="3">
        <v>0</v>
      </c>
      <c r="BU54" s="3">
        <v>0</v>
      </c>
      <c r="BV54" s="3">
        <v>0</v>
      </c>
      <c r="BW54" s="3">
        <v>0</v>
      </c>
      <c r="BX54" s="3">
        <v>1</v>
      </c>
      <c r="BY54" s="3">
        <v>0</v>
      </c>
      <c r="BZ54" s="3">
        <v>0</v>
      </c>
      <c r="CA54" s="3">
        <v>0</v>
      </c>
      <c r="CB54" s="3">
        <v>0</v>
      </c>
      <c r="CC54" s="3">
        <v>0</v>
      </c>
      <c r="CD54" s="3">
        <v>0</v>
      </c>
      <c r="CE54" s="3">
        <v>0</v>
      </c>
      <c r="CF54" s="3">
        <v>0</v>
      </c>
      <c r="CH54">
        <v>1</v>
      </c>
      <c r="CI54">
        <v>0</v>
      </c>
      <c r="CJ54">
        <v>1</v>
      </c>
    </row>
    <row r="55" spans="1:88" x14ac:dyDescent="0.35">
      <c r="A55" s="3" t="s">
        <v>271</v>
      </c>
      <c r="B55" s="3">
        <v>1</v>
      </c>
      <c r="C55" s="3" t="s">
        <v>198</v>
      </c>
      <c r="D55" s="3">
        <v>0</v>
      </c>
      <c r="E55" s="3">
        <v>2021</v>
      </c>
      <c r="F55" s="3">
        <v>54</v>
      </c>
      <c r="G55" s="3">
        <v>1</v>
      </c>
      <c r="H55" s="3">
        <v>24</v>
      </c>
      <c r="I55" s="3">
        <v>22</v>
      </c>
      <c r="J55" s="3">
        <v>43</v>
      </c>
      <c r="K55" s="3">
        <v>13</v>
      </c>
      <c r="L55" s="3">
        <v>2</v>
      </c>
      <c r="M55" s="3" t="s">
        <v>278</v>
      </c>
      <c r="N55" s="3">
        <v>25</v>
      </c>
      <c r="O55" s="3" t="s">
        <v>199</v>
      </c>
      <c r="P55" s="3"/>
      <c r="Q55" s="3"/>
      <c r="R55" s="3"/>
      <c r="S55" s="3"/>
      <c r="T55" s="3"/>
      <c r="U55" s="3" t="s">
        <v>204</v>
      </c>
      <c r="V55" s="3" t="s">
        <v>97</v>
      </c>
      <c r="W55" s="3" t="s">
        <v>97</v>
      </c>
      <c r="X55" s="3">
        <v>1</v>
      </c>
      <c r="Y55" s="3">
        <v>0</v>
      </c>
      <c r="Z55" s="3" t="s">
        <v>84</v>
      </c>
      <c r="AA55" s="3" t="s">
        <v>127</v>
      </c>
      <c r="AB55" s="3">
        <v>1</v>
      </c>
      <c r="AC55" s="3" t="s">
        <v>86</v>
      </c>
      <c r="AD55" s="3" t="s">
        <v>87</v>
      </c>
      <c r="AE55" s="3">
        <v>0</v>
      </c>
      <c r="AF55" s="3" t="s">
        <v>88</v>
      </c>
      <c r="AG55" s="3" t="s">
        <v>88</v>
      </c>
      <c r="AH55" s="10">
        <f t="shared" si="9"/>
        <v>325</v>
      </c>
      <c r="AI55" s="10">
        <f t="shared" si="10"/>
        <v>224</v>
      </c>
      <c r="AJ55" s="10">
        <f t="shared" si="12"/>
        <v>217</v>
      </c>
      <c r="AK55" s="10">
        <v>1</v>
      </c>
      <c r="AL55" s="3" t="s">
        <v>202</v>
      </c>
      <c r="AM55" s="3" t="s">
        <v>203</v>
      </c>
      <c r="AN55" s="3" t="s">
        <v>108</v>
      </c>
      <c r="AO55" s="3" t="s">
        <v>186</v>
      </c>
      <c r="AP55" s="3" t="s">
        <v>125</v>
      </c>
      <c r="AQ55" s="3">
        <v>0</v>
      </c>
      <c r="AR55" s="3">
        <v>0</v>
      </c>
      <c r="AS55" s="3" t="s">
        <v>92</v>
      </c>
      <c r="AT55" s="13" t="s">
        <v>94</v>
      </c>
      <c r="AU55" s="13" t="s">
        <v>94</v>
      </c>
      <c r="AV55" s="12">
        <f t="shared" si="11"/>
        <v>2.6383366965716106E-2</v>
      </c>
      <c r="AW55" s="12">
        <f t="shared" si="13"/>
        <v>-0.21783534358425125</v>
      </c>
      <c r="AX55" s="12">
        <v>0.36099999999999999</v>
      </c>
      <c r="AY55" s="13"/>
      <c r="AZ55" s="3">
        <v>4.1100000000000003</v>
      </c>
      <c r="BA55" s="13"/>
      <c r="BB55" s="3">
        <v>2.78</v>
      </c>
      <c r="BC55" s="10">
        <v>116</v>
      </c>
      <c r="BD55" s="13">
        <v>4.18</v>
      </c>
      <c r="BE55" s="13"/>
      <c r="BF55" s="13">
        <v>2.52</v>
      </c>
      <c r="BG55" s="10">
        <v>108</v>
      </c>
      <c r="BH55" s="13"/>
      <c r="BI55" s="10"/>
      <c r="BJ55" s="10"/>
      <c r="BK55" s="10"/>
      <c r="BL55" s="10"/>
      <c r="BM55" s="3">
        <v>4.74</v>
      </c>
      <c r="BN55" s="13"/>
      <c r="BO55" s="13">
        <v>3</v>
      </c>
      <c r="BP55" s="10">
        <v>101</v>
      </c>
      <c r="BQ55" s="16"/>
      <c r="BR55" s="16"/>
      <c r="BS55" s="3" t="s">
        <v>68</v>
      </c>
      <c r="BT55" s="3">
        <v>0</v>
      </c>
      <c r="BU55" s="3">
        <v>0</v>
      </c>
      <c r="BV55" s="3">
        <v>0</v>
      </c>
      <c r="BW55" s="3">
        <v>0</v>
      </c>
      <c r="BX55" s="3">
        <v>1</v>
      </c>
      <c r="BY55" s="3">
        <v>0</v>
      </c>
      <c r="BZ55" s="3">
        <v>0</v>
      </c>
      <c r="CA55" s="3">
        <v>0</v>
      </c>
      <c r="CB55" s="3">
        <v>0</v>
      </c>
      <c r="CC55" s="3">
        <v>0</v>
      </c>
      <c r="CD55" s="3">
        <v>0</v>
      </c>
      <c r="CE55" s="3">
        <v>0</v>
      </c>
      <c r="CF55" s="3">
        <v>0</v>
      </c>
      <c r="CH55">
        <v>1</v>
      </c>
      <c r="CI55">
        <v>0</v>
      </c>
      <c r="CJ55">
        <v>1</v>
      </c>
    </row>
    <row r="56" spans="1:88" x14ac:dyDescent="0.35">
      <c r="A56" s="3" t="s">
        <v>271</v>
      </c>
      <c r="B56" s="3">
        <v>1</v>
      </c>
      <c r="C56" s="3" t="s">
        <v>198</v>
      </c>
      <c r="D56" s="3">
        <v>0</v>
      </c>
      <c r="E56" s="3">
        <v>2021</v>
      </c>
      <c r="F56" s="3">
        <v>55</v>
      </c>
      <c r="G56" s="3">
        <v>1</v>
      </c>
      <c r="H56" s="3">
        <v>24</v>
      </c>
      <c r="I56" s="3">
        <v>22</v>
      </c>
      <c r="J56" s="3">
        <v>45</v>
      </c>
      <c r="K56" s="3">
        <v>13</v>
      </c>
      <c r="L56" s="3">
        <v>2</v>
      </c>
      <c r="M56" s="3" t="s">
        <v>278</v>
      </c>
      <c r="N56" s="3">
        <v>25</v>
      </c>
      <c r="O56" s="3" t="s">
        <v>199</v>
      </c>
      <c r="P56" s="3"/>
      <c r="Q56" s="3"/>
      <c r="R56" s="3"/>
      <c r="S56" s="3"/>
      <c r="T56" s="3"/>
      <c r="U56" s="3" t="s">
        <v>200</v>
      </c>
      <c r="V56" s="3" t="s">
        <v>82</v>
      </c>
      <c r="W56" s="3" t="s">
        <v>201</v>
      </c>
      <c r="X56" s="3">
        <v>1</v>
      </c>
      <c r="Y56" s="3">
        <v>0</v>
      </c>
      <c r="Z56" s="3" t="s">
        <v>84</v>
      </c>
      <c r="AA56" s="3" t="s">
        <v>127</v>
      </c>
      <c r="AB56" s="3">
        <v>0</v>
      </c>
      <c r="AC56" s="3" t="s">
        <v>86</v>
      </c>
      <c r="AD56" s="3" t="s">
        <v>87</v>
      </c>
      <c r="AE56" s="3">
        <v>0</v>
      </c>
      <c r="AF56" s="3" t="s">
        <v>88</v>
      </c>
      <c r="AG56" s="3" t="s">
        <v>88</v>
      </c>
      <c r="AH56" s="10">
        <f t="shared" si="9"/>
        <v>325</v>
      </c>
      <c r="AI56" s="10">
        <f t="shared" si="10"/>
        <v>224</v>
      </c>
      <c r="AJ56" s="10">
        <f t="shared" si="12"/>
        <v>217</v>
      </c>
      <c r="AK56" s="10">
        <v>1</v>
      </c>
      <c r="AL56" s="3" t="s">
        <v>202</v>
      </c>
      <c r="AM56" s="3" t="s">
        <v>203</v>
      </c>
      <c r="AN56" s="3" t="s">
        <v>108</v>
      </c>
      <c r="AO56" s="3" t="s">
        <v>186</v>
      </c>
      <c r="AP56" s="3" t="s">
        <v>125</v>
      </c>
      <c r="AQ56" s="3">
        <v>0</v>
      </c>
      <c r="AR56" s="3">
        <v>0</v>
      </c>
      <c r="AS56" s="3" t="s">
        <v>92</v>
      </c>
      <c r="AT56" s="13" t="s">
        <v>94</v>
      </c>
      <c r="AU56" s="13" t="s">
        <v>94</v>
      </c>
      <c r="AV56" s="12">
        <f t="shared" si="11"/>
        <v>-0.15777197955078109</v>
      </c>
      <c r="AW56" s="12">
        <f t="shared" si="13"/>
        <v>3.6898108190245353E-2</v>
      </c>
      <c r="AX56" s="12">
        <v>0.16900000000000001</v>
      </c>
      <c r="AY56" s="13"/>
      <c r="AZ56" s="3">
        <v>7.67</v>
      </c>
      <c r="BA56" s="13"/>
      <c r="BB56" s="3">
        <v>1.18</v>
      </c>
      <c r="BC56" s="10">
        <v>116</v>
      </c>
      <c r="BD56" s="3">
        <v>7.45</v>
      </c>
      <c r="BE56" s="13"/>
      <c r="BF56" s="3">
        <v>1.58</v>
      </c>
      <c r="BG56" s="10">
        <v>108</v>
      </c>
      <c r="BH56" s="13"/>
      <c r="BI56" s="10"/>
      <c r="BJ56" s="10"/>
      <c r="BK56" s="10"/>
      <c r="BL56" s="10"/>
      <c r="BM56" s="3">
        <v>7.62</v>
      </c>
      <c r="BN56" s="13"/>
      <c r="BO56" s="3">
        <v>1.51</v>
      </c>
      <c r="BP56" s="10">
        <v>101</v>
      </c>
      <c r="BQ56" s="16"/>
      <c r="BR56" s="16"/>
      <c r="BS56" s="3" t="s">
        <v>68</v>
      </c>
      <c r="BT56" s="3">
        <v>0</v>
      </c>
      <c r="BU56" s="3">
        <v>0</v>
      </c>
      <c r="BV56" s="3">
        <v>0</v>
      </c>
      <c r="BW56" s="3">
        <v>0</v>
      </c>
      <c r="BX56" s="3">
        <v>1</v>
      </c>
      <c r="BY56" s="3">
        <v>0</v>
      </c>
      <c r="BZ56" s="3">
        <v>0</v>
      </c>
      <c r="CA56" s="3">
        <v>0</v>
      </c>
      <c r="CB56" s="3">
        <v>0</v>
      </c>
      <c r="CC56" s="3">
        <v>0</v>
      </c>
      <c r="CD56" s="3">
        <v>0</v>
      </c>
      <c r="CE56" s="3">
        <v>0</v>
      </c>
      <c r="CF56" s="3">
        <v>0</v>
      </c>
      <c r="CH56">
        <v>1</v>
      </c>
      <c r="CI56" s="3">
        <v>0</v>
      </c>
      <c r="CJ56">
        <v>1</v>
      </c>
    </row>
    <row r="57" spans="1:88" x14ac:dyDescent="0.35">
      <c r="A57" s="3" t="s">
        <v>271</v>
      </c>
      <c r="B57" s="3">
        <v>1</v>
      </c>
      <c r="C57" s="3" t="s">
        <v>198</v>
      </c>
      <c r="D57" s="3">
        <v>0</v>
      </c>
      <c r="E57" s="3">
        <v>2021</v>
      </c>
      <c r="F57" s="3">
        <v>56</v>
      </c>
      <c r="G57" s="3">
        <v>1</v>
      </c>
      <c r="H57" s="3">
        <v>24</v>
      </c>
      <c r="I57" s="3">
        <v>22</v>
      </c>
      <c r="J57" s="3">
        <v>46</v>
      </c>
      <c r="K57" s="3">
        <v>13</v>
      </c>
      <c r="L57" s="3">
        <v>2</v>
      </c>
      <c r="M57" s="3" t="s">
        <v>278</v>
      </c>
      <c r="N57" s="3">
        <v>25</v>
      </c>
      <c r="O57" s="3" t="s">
        <v>199</v>
      </c>
      <c r="P57" s="3"/>
      <c r="Q57" s="3"/>
      <c r="R57" s="3"/>
      <c r="S57" s="3"/>
      <c r="T57" s="3"/>
      <c r="U57" s="3" t="s">
        <v>98</v>
      </c>
      <c r="V57" s="3" t="s">
        <v>82</v>
      </c>
      <c r="W57" s="3" t="s">
        <v>83</v>
      </c>
      <c r="X57" s="3">
        <v>-1</v>
      </c>
      <c r="Y57" s="3">
        <v>0</v>
      </c>
      <c r="Z57" s="3" t="s">
        <v>84</v>
      </c>
      <c r="AA57" s="3" t="s">
        <v>127</v>
      </c>
      <c r="AB57" s="3">
        <v>0</v>
      </c>
      <c r="AC57" s="3" t="s">
        <v>86</v>
      </c>
      <c r="AD57" s="3" t="s">
        <v>87</v>
      </c>
      <c r="AE57" s="3">
        <v>0</v>
      </c>
      <c r="AF57" s="3" t="s">
        <v>88</v>
      </c>
      <c r="AG57" s="3" t="s">
        <v>88</v>
      </c>
      <c r="AH57" s="10">
        <f t="shared" si="9"/>
        <v>325</v>
      </c>
      <c r="AI57" s="10">
        <f t="shared" si="10"/>
        <v>224</v>
      </c>
      <c r="AJ57" s="10">
        <f t="shared" si="12"/>
        <v>217</v>
      </c>
      <c r="AK57" s="10">
        <v>1</v>
      </c>
      <c r="AL57" s="3" t="s">
        <v>202</v>
      </c>
      <c r="AM57" s="3" t="s">
        <v>203</v>
      </c>
      <c r="AN57" s="3" t="s">
        <v>108</v>
      </c>
      <c r="AO57" s="3" t="s">
        <v>186</v>
      </c>
      <c r="AP57" s="3" t="s">
        <v>125</v>
      </c>
      <c r="AQ57" s="3">
        <v>0</v>
      </c>
      <c r="AR57" s="3">
        <v>0</v>
      </c>
      <c r="AS57" s="3" t="s">
        <v>92</v>
      </c>
      <c r="AT57" s="13" t="s">
        <v>94</v>
      </c>
      <c r="AU57" s="13" t="s">
        <v>94</v>
      </c>
      <c r="AV57" s="12">
        <f t="shared" si="11"/>
        <v>5.6646087419571861E-2</v>
      </c>
      <c r="AW57" s="12">
        <f t="shared" si="13"/>
        <v>1.7191341946209367E-2</v>
      </c>
      <c r="AX57" s="12">
        <v>0.51300000000000001</v>
      </c>
      <c r="AY57" s="13"/>
      <c r="AZ57" s="3">
        <v>2.2599999999999998</v>
      </c>
      <c r="BA57" s="13"/>
      <c r="BB57" s="3">
        <v>1.73</v>
      </c>
      <c r="BC57" s="10">
        <v>116</v>
      </c>
      <c r="BD57" s="3">
        <v>2.36</v>
      </c>
      <c r="BE57" s="13"/>
      <c r="BF57" s="3">
        <v>1.8</v>
      </c>
      <c r="BG57" s="10">
        <v>108</v>
      </c>
      <c r="BH57" s="13"/>
      <c r="BI57" s="10"/>
      <c r="BJ57" s="10"/>
      <c r="BK57" s="10"/>
      <c r="BL57" s="10"/>
      <c r="BM57" s="3">
        <v>2.23</v>
      </c>
      <c r="BN57" s="13"/>
      <c r="BO57" s="3">
        <v>1.76</v>
      </c>
      <c r="BP57" s="10">
        <v>101</v>
      </c>
      <c r="BQ57" s="16"/>
      <c r="BR57" s="16"/>
      <c r="BS57" s="3" t="s">
        <v>68</v>
      </c>
      <c r="BT57" s="3">
        <v>0</v>
      </c>
      <c r="BU57" s="3">
        <v>0</v>
      </c>
      <c r="BV57" s="3">
        <v>0</v>
      </c>
      <c r="BW57" s="3">
        <v>0</v>
      </c>
      <c r="BX57" s="3">
        <v>1</v>
      </c>
      <c r="BY57" s="3">
        <v>0</v>
      </c>
      <c r="BZ57" s="3">
        <v>0</v>
      </c>
      <c r="CA57" s="3">
        <v>0</v>
      </c>
      <c r="CB57" s="3">
        <v>0</v>
      </c>
      <c r="CC57" s="3">
        <v>0</v>
      </c>
      <c r="CD57" s="3">
        <v>0</v>
      </c>
      <c r="CE57" s="3">
        <v>0</v>
      </c>
      <c r="CF57" s="3">
        <v>0</v>
      </c>
      <c r="CH57">
        <v>1</v>
      </c>
      <c r="CI57">
        <v>0</v>
      </c>
      <c r="CJ57">
        <v>1</v>
      </c>
    </row>
    <row r="58" spans="1:88" x14ac:dyDescent="0.35">
      <c r="A58" s="3" t="s">
        <v>271</v>
      </c>
      <c r="B58" s="3">
        <v>2</v>
      </c>
      <c r="C58" s="3" t="s">
        <v>209</v>
      </c>
      <c r="D58" s="3">
        <v>0</v>
      </c>
      <c r="E58" s="3">
        <v>2021</v>
      </c>
      <c r="F58" s="3">
        <v>57</v>
      </c>
      <c r="G58" s="3">
        <v>2</v>
      </c>
      <c r="H58" s="3">
        <v>25</v>
      </c>
      <c r="I58" s="3">
        <v>23</v>
      </c>
      <c r="J58" s="3">
        <v>47</v>
      </c>
      <c r="K58" s="3">
        <v>13</v>
      </c>
      <c r="L58" s="3">
        <v>2</v>
      </c>
      <c r="M58" s="3" t="s">
        <v>281</v>
      </c>
      <c r="N58" s="3">
        <v>26</v>
      </c>
      <c r="O58" s="3" t="s">
        <v>205</v>
      </c>
      <c r="P58" s="3"/>
      <c r="Q58" s="3"/>
      <c r="R58" s="3"/>
      <c r="S58" s="3"/>
      <c r="T58" s="3"/>
      <c r="U58" s="3" t="s">
        <v>210</v>
      </c>
      <c r="V58" s="3" t="s">
        <v>82</v>
      </c>
      <c r="W58" s="3" t="s">
        <v>83</v>
      </c>
      <c r="X58" s="3">
        <v>-1</v>
      </c>
      <c r="Y58" s="3">
        <v>1</v>
      </c>
      <c r="Z58" s="3" t="s">
        <v>84</v>
      </c>
      <c r="AA58" s="3" t="s">
        <v>127</v>
      </c>
      <c r="AB58" s="3">
        <v>0</v>
      </c>
      <c r="AC58" s="3" t="s">
        <v>86</v>
      </c>
      <c r="AD58" s="3" t="s">
        <v>87</v>
      </c>
      <c r="AE58" s="3">
        <v>0</v>
      </c>
      <c r="AF58" s="3" t="s">
        <v>135</v>
      </c>
      <c r="AG58" s="3" t="s">
        <v>136</v>
      </c>
      <c r="AH58" s="10">
        <f t="shared" si="9"/>
        <v>595</v>
      </c>
      <c r="AI58" s="10">
        <f t="shared" si="10"/>
        <v>394</v>
      </c>
      <c r="AJ58" s="10">
        <f t="shared" si="12"/>
        <v>400</v>
      </c>
      <c r="AK58" s="10">
        <v>1</v>
      </c>
      <c r="AL58" s="3" t="s">
        <v>206</v>
      </c>
      <c r="AM58" s="3" t="s">
        <v>207</v>
      </c>
      <c r="AN58" s="3" t="s">
        <v>108</v>
      </c>
      <c r="AO58" s="3" t="s">
        <v>186</v>
      </c>
      <c r="AP58" s="3" t="s">
        <v>125</v>
      </c>
      <c r="AQ58" s="3">
        <v>0</v>
      </c>
      <c r="AR58" s="3">
        <v>0</v>
      </c>
      <c r="AS58" s="3" t="s">
        <v>92</v>
      </c>
      <c r="AT58" s="13" t="s">
        <v>94</v>
      </c>
      <c r="AU58" s="13" t="s">
        <v>94</v>
      </c>
      <c r="AV58" s="12">
        <f t="shared" si="11"/>
        <v>1.8298541204092422E-2</v>
      </c>
      <c r="AW58" s="12">
        <f t="shared" si="13"/>
        <v>0.15484889094659438</v>
      </c>
      <c r="AX58" s="12">
        <v>0.1</v>
      </c>
      <c r="AY58" s="13"/>
      <c r="AZ58" s="3">
        <v>2.57</v>
      </c>
      <c r="BA58" s="13"/>
      <c r="BB58" s="3">
        <v>2.25</v>
      </c>
      <c r="BC58" s="10">
        <v>199</v>
      </c>
      <c r="BD58" s="3">
        <v>2.61</v>
      </c>
      <c r="BE58" s="13"/>
      <c r="BF58" s="3">
        <v>2.12</v>
      </c>
      <c r="BG58" s="10">
        <v>195</v>
      </c>
      <c r="BH58" s="13"/>
      <c r="BI58" s="10"/>
      <c r="BJ58" s="10"/>
      <c r="BK58" s="10"/>
      <c r="BL58" s="10"/>
      <c r="BM58" s="3">
        <v>2.23</v>
      </c>
      <c r="BN58" s="13"/>
      <c r="BO58" s="3">
        <v>2.14</v>
      </c>
      <c r="BP58" s="10">
        <v>201</v>
      </c>
      <c r="BQ58" s="16"/>
      <c r="BR58" s="16"/>
      <c r="BS58" s="3" t="s">
        <v>68</v>
      </c>
      <c r="BT58" s="3">
        <v>0</v>
      </c>
      <c r="BU58" s="3">
        <v>0</v>
      </c>
      <c r="BV58" s="3">
        <v>0</v>
      </c>
      <c r="BW58" s="3">
        <v>0</v>
      </c>
      <c r="BX58" s="3">
        <v>1</v>
      </c>
      <c r="BY58" s="3">
        <v>0</v>
      </c>
      <c r="BZ58" s="3">
        <v>0</v>
      </c>
      <c r="CA58" s="3">
        <v>0</v>
      </c>
      <c r="CB58" s="3">
        <v>0</v>
      </c>
      <c r="CC58" s="3">
        <v>0</v>
      </c>
      <c r="CD58" s="3">
        <v>0</v>
      </c>
      <c r="CE58" s="3">
        <v>0</v>
      </c>
      <c r="CF58" s="3">
        <v>0</v>
      </c>
      <c r="CH58">
        <v>1</v>
      </c>
      <c r="CI58">
        <v>0</v>
      </c>
      <c r="CJ58">
        <v>1</v>
      </c>
    </row>
    <row r="59" spans="1:88" x14ac:dyDescent="0.35">
      <c r="A59" s="3" t="s">
        <v>271</v>
      </c>
      <c r="B59" s="3">
        <v>1</v>
      </c>
      <c r="C59" s="3" t="s">
        <v>198</v>
      </c>
      <c r="D59" s="3">
        <v>0</v>
      </c>
      <c r="E59" s="3">
        <v>2021</v>
      </c>
      <c r="F59" s="3">
        <v>58</v>
      </c>
      <c r="G59" s="3">
        <v>2</v>
      </c>
      <c r="H59" s="3">
        <v>25</v>
      </c>
      <c r="I59" s="3">
        <v>23</v>
      </c>
      <c r="J59" s="3">
        <v>49</v>
      </c>
      <c r="K59" s="3">
        <v>13</v>
      </c>
      <c r="L59" s="3">
        <v>2</v>
      </c>
      <c r="M59" s="3" t="s">
        <v>281</v>
      </c>
      <c r="N59" s="3">
        <v>26</v>
      </c>
      <c r="O59" s="3" t="s">
        <v>205</v>
      </c>
      <c r="P59" s="3"/>
      <c r="Q59" s="3"/>
      <c r="R59" s="3"/>
      <c r="S59" s="3"/>
      <c r="T59" s="3"/>
      <c r="U59" s="3" t="s">
        <v>208</v>
      </c>
      <c r="V59" s="3" t="s">
        <v>82</v>
      </c>
      <c r="W59" s="3" t="s">
        <v>83</v>
      </c>
      <c r="X59" s="3">
        <v>1</v>
      </c>
      <c r="Y59" s="3">
        <v>1</v>
      </c>
      <c r="Z59" s="3" t="s">
        <v>84</v>
      </c>
      <c r="AA59" s="3" t="s">
        <v>127</v>
      </c>
      <c r="AB59" s="3">
        <v>0</v>
      </c>
      <c r="AC59" s="3" t="s">
        <v>86</v>
      </c>
      <c r="AD59" s="3" t="s">
        <v>87</v>
      </c>
      <c r="AE59" s="3">
        <v>0</v>
      </c>
      <c r="AF59" s="3" t="s">
        <v>135</v>
      </c>
      <c r="AG59" s="3" t="s">
        <v>136</v>
      </c>
      <c r="AH59" s="10">
        <f t="shared" si="9"/>
        <v>595</v>
      </c>
      <c r="AI59" s="10">
        <f t="shared" si="10"/>
        <v>394</v>
      </c>
      <c r="AJ59" s="10">
        <f t="shared" si="12"/>
        <v>400</v>
      </c>
      <c r="AK59" s="10">
        <v>1</v>
      </c>
      <c r="AL59" s="3" t="s">
        <v>206</v>
      </c>
      <c r="AM59" s="3" t="s">
        <v>207</v>
      </c>
      <c r="AN59" s="3" t="s">
        <v>108</v>
      </c>
      <c r="AO59" s="3" t="s">
        <v>186</v>
      </c>
      <c r="AP59" s="3" t="s">
        <v>125</v>
      </c>
      <c r="AQ59" s="3">
        <v>0</v>
      </c>
      <c r="AR59" s="3">
        <v>0</v>
      </c>
      <c r="AS59" s="3" t="s">
        <v>92</v>
      </c>
      <c r="AT59" s="13" t="s">
        <v>94</v>
      </c>
      <c r="AU59" s="13" t="s">
        <v>94</v>
      </c>
      <c r="AV59" s="12">
        <f t="shared" si="11"/>
        <v>-1.5642912147543576E-2</v>
      </c>
      <c r="AW59" s="12">
        <f t="shared" si="13"/>
        <v>-0.11817069611903307</v>
      </c>
      <c r="AX59" s="12">
        <v>3.6999999999999998E-2</v>
      </c>
      <c r="AY59" s="13"/>
      <c r="AZ59" s="3">
        <v>7.91</v>
      </c>
      <c r="BA59" s="13"/>
      <c r="BB59" s="3">
        <v>1.37</v>
      </c>
      <c r="BC59" s="10">
        <v>199</v>
      </c>
      <c r="BD59" s="3">
        <v>7.89</v>
      </c>
      <c r="BE59" s="13"/>
      <c r="BF59" s="3">
        <v>1.18</v>
      </c>
      <c r="BG59" s="10">
        <v>195</v>
      </c>
      <c r="BH59" s="13"/>
      <c r="BI59" s="10"/>
      <c r="BJ59" s="10"/>
      <c r="BK59" s="10"/>
      <c r="BL59" s="10"/>
      <c r="BM59" s="3">
        <v>8.06</v>
      </c>
      <c r="BN59" s="13"/>
      <c r="BO59" s="3">
        <v>1.1599999999999999</v>
      </c>
      <c r="BP59" s="10">
        <v>201</v>
      </c>
      <c r="BQ59" s="16"/>
      <c r="BR59" s="16"/>
      <c r="BS59" s="3" t="s">
        <v>68</v>
      </c>
      <c r="BT59" s="3">
        <v>0</v>
      </c>
      <c r="BU59" s="3">
        <v>0</v>
      </c>
      <c r="BV59" s="3">
        <v>0</v>
      </c>
      <c r="BW59" s="3">
        <v>0</v>
      </c>
      <c r="BX59" s="3">
        <v>1</v>
      </c>
      <c r="BY59" s="3">
        <v>0</v>
      </c>
      <c r="BZ59" s="3">
        <v>0</v>
      </c>
      <c r="CA59" s="3">
        <v>0</v>
      </c>
      <c r="CB59" s="3">
        <v>0</v>
      </c>
      <c r="CC59" s="3">
        <v>0</v>
      </c>
      <c r="CD59" s="3">
        <v>0</v>
      </c>
      <c r="CE59" s="3">
        <v>0</v>
      </c>
      <c r="CF59" s="3">
        <v>0</v>
      </c>
      <c r="CH59">
        <v>1</v>
      </c>
      <c r="CI59">
        <v>0</v>
      </c>
      <c r="CJ59">
        <v>1</v>
      </c>
    </row>
    <row r="60" spans="1:88" s="2" customFormat="1" x14ac:dyDescent="0.35">
      <c r="A60" s="3" t="s">
        <v>271</v>
      </c>
      <c r="B60" s="3">
        <v>2</v>
      </c>
      <c r="C60" s="3" t="s">
        <v>209</v>
      </c>
      <c r="D60" s="3">
        <v>0</v>
      </c>
      <c r="E60" s="3">
        <v>2021</v>
      </c>
      <c r="F60" s="3">
        <v>59</v>
      </c>
      <c r="G60" s="3">
        <v>2</v>
      </c>
      <c r="H60" s="3">
        <v>25</v>
      </c>
      <c r="I60" s="3">
        <v>23</v>
      </c>
      <c r="J60" s="3">
        <v>50</v>
      </c>
      <c r="K60" s="3">
        <v>13</v>
      </c>
      <c r="L60" s="3">
        <v>2</v>
      </c>
      <c r="M60" s="3" t="s">
        <v>281</v>
      </c>
      <c r="N60" s="3">
        <v>26</v>
      </c>
      <c r="O60" s="3" t="s">
        <v>205</v>
      </c>
      <c r="P60" s="3"/>
      <c r="Q60" s="3"/>
      <c r="R60" s="3"/>
      <c r="S60" s="3"/>
      <c r="T60" s="3"/>
      <c r="U60" s="3" t="s">
        <v>200</v>
      </c>
      <c r="V60" s="3" t="s">
        <v>82</v>
      </c>
      <c r="W60" s="3" t="s">
        <v>201</v>
      </c>
      <c r="X60" s="3">
        <v>1</v>
      </c>
      <c r="Y60" s="3">
        <v>1</v>
      </c>
      <c r="Z60" s="3" t="s">
        <v>84</v>
      </c>
      <c r="AA60" s="3" t="s">
        <v>127</v>
      </c>
      <c r="AB60" s="3">
        <v>0</v>
      </c>
      <c r="AC60" s="3" t="s">
        <v>86</v>
      </c>
      <c r="AD60" s="3" t="s">
        <v>87</v>
      </c>
      <c r="AE60" s="3">
        <v>0</v>
      </c>
      <c r="AF60" s="3" t="s">
        <v>135</v>
      </c>
      <c r="AG60" s="3" t="s">
        <v>136</v>
      </c>
      <c r="AH60" s="10">
        <f t="shared" si="9"/>
        <v>595</v>
      </c>
      <c r="AI60" s="10">
        <f t="shared" si="10"/>
        <v>394</v>
      </c>
      <c r="AJ60" s="10">
        <f t="shared" si="12"/>
        <v>400</v>
      </c>
      <c r="AK60" s="10">
        <v>1</v>
      </c>
      <c r="AL60" s="3" t="s">
        <v>206</v>
      </c>
      <c r="AM60" s="3" t="s">
        <v>207</v>
      </c>
      <c r="AN60" s="3" t="s">
        <v>108</v>
      </c>
      <c r="AO60" s="3" t="s">
        <v>186</v>
      </c>
      <c r="AP60" s="3" t="s">
        <v>125</v>
      </c>
      <c r="AQ60" s="3">
        <v>0</v>
      </c>
      <c r="AR60" s="3">
        <v>0</v>
      </c>
      <c r="AS60" s="3" t="s">
        <v>92</v>
      </c>
      <c r="AT60" s="13" t="s">
        <v>94</v>
      </c>
      <c r="AU60" s="13" t="s">
        <v>94</v>
      </c>
      <c r="AV60" s="12">
        <f t="shared" si="11"/>
        <v>2.9651536744798472E-2</v>
      </c>
      <c r="AW60" s="12">
        <f t="shared" si="13"/>
        <v>-0.13288744033030864</v>
      </c>
      <c r="AX60" s="12">
        <v>0.42399999999999999</v>
      </c>
      <c r="AY60" s="13"/>
      <c r="AZ60" s="3">
        <v>7.86</v>
      </c>
      <c r="BA60" s="13"/>
      <c r="BB60" s="3">
        <v>1.75</v>
      </c>
      <c r="BC60" s="10">
        <v>199</v>
      </c>
      <c r="BD60" s="3">
        <v>7.91</v>
      </c>
      <c r="BE60" s="13"/>
      <c r="BF60" s="3">
        <v>1.62</v>
      </c>
      <c r="BG60" s="10">
        <v>195</v>
      </c>
      <c r="BH60" s="13"/>
      <c r="BI60" s="10"/>
      <c r="BJ60" s="10"/>
      <c r="BK60" s="10"/>
      <c r="BL60" s="10"/>
      <c r="BM60" s="3">
        <v>8.07</v>
      </c>
      <c r="BN60" s="13"/>
      <c r="BO60" s="3">
        <v>1.39</v>
      </c>
      <c r="BP60" s="10">
        <v>201</v>
      </c>
      <c r="BQ60" s="16"/>
      <c r="BR60" s="16"/>
      <c r="BS60" s="3" t="s">
        <v>68</v>
      </c>
      <c r="BT60" s="3">
        <v>0</v>
      </c>
      <c r="BU60" s="3">
        <v>0</v>
      </c>
      <c r="BV60" s="3">
        <v>0</v>
      </c>
      <c r="BW60" s="3">
        <v>0</v>
      </c>
      <c r="BX60" s="3">
        <v>1</v>
      </c>
      <c r="BY60" s="3">
        <v>0</v>
      </c>
      <c r="BZ60" s="3">
        <v>0</v>
      </c>
      <c r="CA60" s="3">
        <v>0</v>
      </c>
      <c r="CB60" s="3">
        <v>0</v>
      </c>
      <c r="CC60" s="3">
        <v>0</v>
      </c>
      <c r="CD60" s="3">
        <v>0</v>
      </c>
      <c r="CE60" s="3">
        <v>0</v>
      </c>
      <c r="CF60" s="3">
        <v>0</v>
      </c>
      <c r="CG60"/>
      <c r="CH60">
        <v>1</v>
      </c>
      <c r="CI60">
        <v>0</v>
      </c>
      <c r="CJ60">
        <v>1</v>
      </c>
    </row>
    <row r="61" spans="1:88" x14ac:dyDescent="0.35">
      <c r="A61" s="3" t="s">
        <v>271</v>
      </c>
      <c r="B61" s="3">
        <v>2</v>
      </c>
      <c r="C61" s="3" t="s">
        <v>209</v>
      </c>
      <c r="D61" s="3">
        <v>0</v>
      </c>
      <c r="E61" s="3">
        <v>2021</v>
      </c>
      <c r="F61" s="3">
        <v>60</v>
      </c>
      <c r="G61" s="3">
        <v>2</v>
      </c>
      <c r="H61" s="3">
        <v>25</v>
      </c>
      <c r="I61" s="3">
        <v>23</v>
      </c>
      <c r="J61" s="3">
        <v>48</v>
      </c>
      <c r="K61" s="3">
        <v>13</v>
      </c>
      <c r="L61" s="3">
        <v>2</v>
      </c>
      <c r="M61" s="3" t="s">
        <v>281</v>
      </c>
      <c r="N61" s="3">
        <v>26</v>
      </c>
      <c r="O61" s="3" t="s">
        <v>205</v>
      </c>
      <c r="P61" s="3"/>
      <c r="Q61" s="3"/>
      <c r="R61" s="3"/>
      <c r="S61" s="3"/>
      <c r="T61" s="3"/>
      <c r="U61" s="3" t="s">
        <v>194</v>
      </c>
      <c r="V61" s="3" t="s">
        <v>97</v>
      </c>
      <c r="W61" s="3" t="s">
        <v>97</v>
      </c>
      <c r="X61" s="3">
        <v>1</v>
      </c>
      <c r="Y61" s="3">
        <v>1</v>
      </c>
      <c r="Z61" s="3" t="s">
        <v>84</v>
      </c>
      <c r="AA61" s="3" t="s">
        <v>127</v>
      </c>
      <c r="AB61" s="3">
        <v>1</v>
      </c>
      <c r="AC61" s="3" t="s">
        <v>86</v>
      </c>
      <c r="AD61" s="3" t="s">
        <v>87</v>
      </c>
      <c r="AE61" s="3">
        <v>0</v>
      </c>
      <c r="AF61" s="3" t="s">
        <v>135</v>
      </c>
      <c r="AG61" s="3" t="s">
        <v>136</v>
      </c>
      <c r="AH61" s="10">
        <f>SUM(BJ61,BL61,BR61)</f>
        <v>595</v>
      </c>
      <c r="AI61" s="10">
        <f>SUM(BJ61,BL61)</f>
        <v>394</v>
      </c>
      <c r="AJ61" s="10">
        <f>SUM(BJ61,BR61)</f>
        <v>400</v>
      </c>
      <c r="AK61" s="10">
        <v>1</v>
      </c>
      <c r="AL61" s="3" t="s">
        <v>206</v>
      </c>
      <c r="AM61" s="3" t="s">
        <v>207</v>
      </c>
      <c r="AN61" s="3" t="s">
        <v>108</v>
      </c>
      <c r="AO61" s="3" t="s">
        <v>186</v>
      </c>
      <c r="AP61" s="3" t="s">
        <v>125</v>
      </c>
      <c r="AQ61" s="3">
        <v>0</v>
      </c>
      <c r="AR61" s="3">
        <v>0</v>
      </c>
      <c r="AS61" s="3" t="s">
        <v>111</v>
      </c>
      <c r="AT61" s="13" t="s">
        <v>94</v>
      </c>
      <c r="AU61" s="13" t="s">
        <v>94</v>
      </c>
      <c r="AV61" s="12">
        <f>LN((BK61/(BL61-BK61))/(BI61/(BJ61-BI61)))*(SQRT(3)/PI())</f>
        <v>4.4284053916153504E-2</v>
      </c>
      <c r="AW61" s="12">
        <f>LN((BI61/(BJ61-BI61))/(BQ61/(BR61-BQ61)))*(SQRT(3)/PI())</f>
        <v>-0.19498059799255185</v>
      </c>
      <c r="AX61" s="13"/>
      <c r="AY61" s="13"/>
      <c r="AZ61" s="13"/>
      <c r="BA61" s="13"/>
      <c r="BB61" s="13"/>
      <c r="BC61" s="10"/>
      <c r="BD61" s="13"/>
      <c r="BE61" s="13"/>
      <c r="BF61" s="13"/>
      <c r="BG61" s="10"/>
      <c r="BH61" s="13"/>
      <c r="BI61" s="10">
        <v>50</v>
      </c>
      <c r="BJ61" s="10">
        <v>199</v>
      </c>
      <c r="BK61" s="10">
        <v>52</v>
      </c>
      <c r="BL61" s="10">
        <v>195</v>
      </c>
      <c r="BM61" s="12"/>
      <c r="BN61" s="12"/>
      <c r="BO61" s="12"/>
      <c r="BP61" s="16"/>
      <c r="BQ61" s="10">
        <v>65</v>
      </c>
      <c r="BR61" s="10">
        <v>201</v>
      </c>
      <c r="BS61" s="3" t="s">
        <v>68</v>
      </c>
      <c r="BT61" s="3">
        <v>0</v>
      </c>
      <c r="BU61" s="3">
        <v>0</v>
      </c>
      <c r="BV61" s="3">
        <v>0</v>
      </c>
      <c r="BW61" s="3">
        <v>0</v>
      </c>
      <c r="BX61" s="3">
        <v>1</v>
      </c>
      <c r="BY61" s="3">
        <v>0</v>
      </c>
      <c r="BZ61" s="3">
        <v>0</v>
      </c>
      <c r="CA61" s="3">
        <v>0</v>
      </c>
      <c r="CB61" s="3">
        <v>0</v>
      </c>
      <c r="CC61" s="3">
        <v>0</v>
      </c>
      <c r="CD61" s="3">
        <v>0</v>
      </c>
      <c r="CE61" s="3">
        <v>0</v>
      </c>
      <c r="CF61" s="3">
        <v>0</v>
      </c>
      <c r="CH61">
        <v>1</v>
      </c>
      <c r="CI61">
        <v>0</v>
      </c>
      <c r="CJ61">
        <v>1</v>
      </c>
    </row>
    <row r="62" spans="1:88" x14ac:dyDescent="0.35">
      <c r="A62" s="3" t="s">
        <v>271</v>
      </c>
      <c r="B62" s="3">
        <v>2</v>
      </c>
      <c r="C62" s="3" t="s">
        <v>209</v>
      </c>
      <c r="D62" s="3">
        <v>0</v>
      </c>
      <c r="E62" s="3">
        <v>2021</v>
      </c>
      <c r="F62" s="3">
        <v>61</v>
      </c>
      <c r="G62" s="3">
        <v>2</v>
      </c>
      <c r="H62" s="3">
        <v>25</v>
      </c>
      <c r="I62" s="3">
        <v>23</v>
      </c>
      <c r="J62" s="3">
        <v>51</v>
      </c>
      <c r="K62" s="3">
        <v>13</v>
      </c>
      <c r="L62" s="3">
        <v>2</v>
      </c>
      <c r="M62" s="3" t="s">
        <v>281</v>
      </c>
      <c r="N62" s="3">
        <v>26</v>
      </c>
      <c r="O62" s="3" t="s">
        <v>205</v>
      </c>
      <c r="P62" s="3"/>
      <c r="Q62" s="3"/>
      <c r="R62" s="3"/>
      <c r="S62" s="3"/>
      <c r="T62" s="3"/>
      <c r="U62" s="3" t="s">
        <v>98</v>
      </c>
      <c r="V62" s="3" t="s">
        <v>82</v>
      </c>
      <c r="W62" s="3" t="s">
        <v>83</v>
      </c>
      <c r="X62" s="3">
        <v>-1</v>
      </c>
      <c r="Y62" s="3">
        <v>1</v>
      </c>
      <c r="Z62" s="3" t="s">
        <v>84</v>
      </c>
      <c r="AA62" s="3" t="s">
        <v>127</v>
      </c>
      <c r="AB62" s="3">
        <v>0</v>
      </c>
      <c r="AC62" s="3" t="s">
        <v>86</v>
      </c>
      <c r="AD62" s="3" t="s">
        <v>87</v>
      </c>
      <c r="AE62" s="3">
        <v>0</v>
      </c>
      <c r="AF62" s="3" t="s">
        <v>135</v>
      </c>
      <c r="AG62" s="3" t="s">
        <v>136</v>
      </c>
      <c r="AH62" s="10">
        <f>SUM(BC62,BG62,BP62)</f>
        <v>595</v>
      </c>
      <c r="AI62" s="10">
        <f>SUM(BC62,BG62)</f>
        <v>394</v>
      </c>
      <c r="AJ62" s="10">
        <f>SUM(BP62,BC62)</f>
        <v>400</v>
      </c>
      <c r="AK62" s="10">
        <v>1</v>
      </c>
      <c r="AL62" s="3" t="s">
        <v>206</v>
      </c>
      <c r="AM62" s="3" t="s">
        <v>207</v>
      </c>
      <c r="AN62" s="3" t="s">
        <v>108</v>
      </c>
      <c r="AO62" s="3" t="s">
        <v>186</v>
      </c>
      <c r="AP62" s="3" t="s">
        <v>125</v>
      </c>
      <c r="AQ62" s="3">
        <v>0</v>
      </c>
      <c r="AR62" s="3">
        <v>0</v>
      </c>
      <c r="AS62" s="3" t="s">
        <v>92</v>
      </c>
      <c r="AT62" s="13" t="s">
        <v>94</v>
      </c>
      <c r="AU62" s="13" t="s">
        <v>94</v>
      </c>
      <c r="AV62" s="12">
        <f>(BD62-AZ62)/(SQRT((BB62^2+BF62^2)/2))</f>
        <v>4.7365796981441353E-2</v>
      </c>
      <c r="AW62" s="12">
        <f>(AZ62-BM62)/(SQRT((BO62^2+BB62^2)/2))</f>
        <v>0.13790726426827374</v>
      </c>
      <c r="AX62" s="13"/>
      <c r="AY62" s="13"/>
      <c r="AZ62" s="3">
        <v>2.4900000000000002</v>
      </c>
      <c r="BA62" s="13"/>
      <c r="BB62" s="3">
        <v>1.92</v>
      </c>
      <c r="BC62" s="10">
        <v>199</v>
      </c>
      <c r="BD62" s="3">
        <v>2.58</v>
      </c>
      <c r="BE62" s="13"/>
      <c r="BF62" s="3">
        <v>1.88</v>
      </c>
      <c r="BG62" s="10">
        <v>195</v>
      </c>
      <c r="BH62" s="13"/>
      <c r="BI62" s="10"/>
      <c r="BJ62" s="10"/>
      <c r="BK62" s="10"/>
      <c r="BL62" s="10"/>
      <c r="BM62" s="3">
        <v>2.23</v>
      </c>
      <c r="BN62" s="13"/>
      <c r="BO62" s="3">
        <v>1.85</v>
      </c>
      <c r="BP62" s="10">
        <v>201</v>
      </c>
      <c r="BQ62" s="16"/>
      <c r="BR62" s="16"/>
      <c r="BS62" s="3" t="s">
        <v>68</v>
      </c>
      <c r="BT62" s="3">
        <v>0</v>
      </c>
      <c r="BU62" s="3">
        <v>0</v>
      </c>
      <c r="BV62" s="3">
        <v>0</v>
      </c>
      <c r="BW62" s="3">
        <v>0</v>
      </c>
      <c r="BX62" s="3">
        <v>1</v>
      </c>
      <c r="BY62" s="3">
        <v>0</v>
      </c>
      <c r="BZ62" s="3">
        <v>0</v>
      </c>
      <c r="CA62" s="3">
        <v>0</v>
      </c>
      <c r="CB62" s="3">
        <v>0</v>
      </c>
      <c r="CC62" s="3">
        <v>0</v>
      </c>
      <c r="CD62" s="3">
        <v>0</v>
      </c>
      <c r="CE62" s="3">
        <v>0</v>
      </c>
      <c r="CF62" s="3">
        <v>0</v>
      </c>
      <c r="CH62">
        <v>1</v>
      </c>
      <c r="CI62">
        <v>0</v>
      </c>
      <c r="CJ62">
        <v>1</v>
      </c>
    </row>
    <row r="63" spans="1:88" x14ac:dyDescent="0.35">
      <c r="A63" s="3" t="s">
        <v>271</v>
      </c>
      <c r="B63" s="3">
        <v>2</v>
      </c>
      <c r="C63" s="3" t="s">
        <v>209</v>
      </c>
      <c r="D63" s="3">
        <v>0</v>
      </c>
      <c r="E63" s="3">
        <v>2021</v>
      </c>
      <c r="F63" s="3">
        <v>62</v>
      </c>
      <c r="G63" s="3">
        <v>2</v>
      </c>
      <c r="H63" s="3">
        <v>25</v>
      </c>
      <c r="I63" s="3">
        <v>24</v>
      </c>
      <c r="J63" s="3">
        <v>47</v>
      </c>
      <c r="K63" s="3">
        <v>13</v>
      </c>
      <c r="L63" s="3">
        <v>2</v>
      </c>
      <c r="M63" s="3" t="s">
        <v>281</v>
      </c>
      <c r="N63" s="3">
        <v>26</v>
      </c>
      <c r="O63" s="3" t="s">
        <v>205</v>
      </c>
      <c r="P63" s="3"/>
      <c r="Q63" s="3"/>
      <c r="R63" s="3"/>
      <c r="S63" s="3"/>
      <c r="T63" s="3"/>
      <c r="U63" s="3" t="s">
        <v>210</v>
      </c>
      <c r="V63" s="3" t="s">
        <v>82</v>
      </c>
      <c r="W63" s="3" t="s">
        <v>83</v>
      </c>
      <c r="X63" s="3">
        <v>-1</v>
      </c>
      <c r="Y63" s="3">
        <v>1</v>
      </c>
      <c r="Z63" s="3" t="s">
        <v>84</v>
      </c>
      <c r="AA63" s="3" t="s">
        <v>85</v>
      </c>
      <c r="AB63" s="3" t="s">
        <v>94</v>
      </c>
      <c r="AC63" s="3" t="s">
        <v>86</v>
      </c>
      <c r="AD63" s="3" t="s">
        <v>87</v>
      </c>
      <c r="AE63" s="3">
        <v>0</v>
      </c>
      <c r="AF63" s="3" t="s">
        <v>135</v>
      </c>
      <c r="AG63" s="3" t="s">
        <v>136</v>
      </c>
      <c r="AH63" s="10">
        <f>SUM(BC63,BG63,BP63)</f>
        <v>602</v>
      </c>
      <c r="AI63" s="10">
        <f>SUM(BC63,BG63)</f>
        <v>401</v>
      </c>
      <c r="AJ63" s="10">
        <f>SUM(BP63,BC63)</f>
        <v>402</v>
      </c>
      <c r="AK63" s="10">
        <v>1</v>
      </c>
      <c r="AL63" s="3" t="s">
        <v>206</v>
      </c>
      <c r="AM63" s="3" t="s">
        <v>207</v>
      </c>
      <c r="AN63" s="3" t="s">
        <v>108</v>
      </c>
      <c r="AO63" s="3" t="s">
        <v>186</v>
      </c>
      <c r="AP63" s="3" t="s">
        <v>125</v>
      </c>
      <c r="AQ63" s="3">
        <v>0</v>
      </c>
      <c r="AR63" s="3">
        <v>0</v>
      </c>
      <c r="AS63" s="3" t="s">
        <v>92</v>
      </c>
      <c r="AT63" s="13" t="s">
        <v>94</v>
      </c>
      <c r="AU63" s="13" t="s">
        <v>94</v>
      </c>
      <c r="AV63" s="12">
        <f>(BD63-AZ63)/(SQRT((BB63^2+BF63^2)/2))</f>
        <v>4.4144840216414967E-2</v>
      </c>
      <c r="AW63" s="12">
        <f>(AZ63-BM63)/(SQRT((BO63^2+BB63^2)/2))</f>
        <v>0.16472479487809807</v>
      </c>
      <c r="AX63" s="12">
        <v>0.1</v>
      </c>
      <c r="AY63" s="13"/>
      <c r="AZ63" s="3">
        <v>2.59</v>
      </c>
      <c r="BA63" s="13"/>
      <c r="BB63" s="3">
        <v>2.23</v>
      </c>
      <c r="BC63" s="10">
        <v>201</v>
      </c>
      <c r="BD63" s="3">
        <v>2.69</v>
      </c>
      <c r="BE63" s="13"/>
      <c r="BF63" s="3">
        <v>2.2999999999999998</v>
      </c>
      <c r="BG63" s="10">
        <v>200</v>
      </c>
      <c r="BH63" s="13"/>
      <c r="BI63" s="10"/>
      <c r="BJ63" s="10"/>
      <c r="BK63" s="10"/>
      <c r="BL63" s="10"/>
      <c r="BM63" s="3">
        <v>2.23</v>
      </c>
      <c r="BN63" s="13"/>
      <c r="BO63" s="3">
        <v>2.14</v>
      </c>
      <c r="BP63" s="10">
        <v>201</v>
      </c>
      <c r="BQ63" s="16"/>
      <c r="BR63" s="16"/>
      <c r="BS63" s="3" t="s">
        <v>68</v>
      </c>
      <c r="BT63" s="3">
        <v>0</v>
      </c>
      <c r="BU63" s="3">
        <v>0</v>
      </c>
      <c r="BV63" s="3">
        <v>0</v>
      </c>
      <c r="BW63" s="3">
        <v>0</v>
      </c>
      <c r="BX63" s="3">
        <v>1</v>
      </c>
      <c r="BY63" s="3">
        <v>0</v>
      </c>
      <c r="BZ63" s="3">
        <v>0</v>
      </c>
      <c r="CA63" s="3">
        <v>0</v>
      </c>
      <c r="CB63" s="3">
        <v>0</v>
      </c>
      <c r="CC63" s="3">
        <v>0</v>
      </c>
      <c r="CD63" s="3">
        <v>0</v>
      </c>
      <c r="CE63" s="3">
        <v>0</v>
      </c>
      <c r="CF63" s="3">
        <v>0</v>
      </c>
      <c r="CH63">
        <v>1</v>
      </c>
      <c r="CI63">
        <v>0</v>
      </c>
      <c r="CJ63">
        <v>1</v>
      </c>
    </row>
    <row r="64" spans="1:88" x14ac:dyDescent="0.35">
      <c r="A64" s="3" t="s">
        <v>271</v>
      </c>
      <c r="B64" s="3">
        <v>2</v>
      </c>
      <c r="C64" s="3" t="s">
        <v>209</v>
      </c>
      <c r="D64" s="3">
        <v>0</v>
      </c>
      <c r="E64" s="3">
        <v>2021</v>
      </c>
      <c r="F64" s="3">
        <v>63</v>
      </c>
      <c r="G64" s="3">
        <v>2</v>
      </c>
      <c r="H64" s="3">
        <v>25</v>
      </c>
      <c r="I64" s="3">
        <v>24</v>
      </c>
      <c r="J64" s="3">
        <v>50</v>
      </c>
      <c r="K64" s="3">
        <v>13</v>
      </c>
      <c r="L64" s="3">
        <v>2</v>
      </c>
      <c r="M64" s="3" t="s">
        <v>281</v>
      </c>
      <c r="N64" s="3">
        <v>26</v>
      </c>
      <c r="O64" s="3" t="s">
        <v>205</v>
      </c>
      <c r="P64" s="3"/>
      <c r="Q64" s="3"/>
      <c r="R64" s="3"/>
      <c r="S64" s="3"/>
      <c r="T64" s="3"/>
      <c r="U64" s="3" t="s">
        <v>200</v>
      </c>
      <c r="V64" s="3" t="s">
        <v>82</v>
      </c>
      <c r="W64" s="3" t="s">
        <v>201</v>
      </c>
      <c r="X64" s="3">
        <v>1</v>
      </c>
      <c r="Y64" s="3">
        <v>1</v>
      </c>
      <c r="Z64" s="3" t="s">
        <v>84</v>
      </c>
      <c r="AA64" s="3" t="s">
        <v>85</v>
      </c>
      <c r="AB64" s="3" t="s">
        <v>94</v>
      </c>
      <c r="AC64" s="3" t="s">
        <v>86</v>
      </c>
      <c r="AD64" s="3" t="s">
        <v>87</v>
      </c>
      <c r="AE64" s="3">
        <v>0</v>
      </c>
      <c r="AF64" s="3" t="s">
        <v>135</v>
      </c>
      <c r="AG64" s="3" t="s">
        <v>136</v>
      </c>
      <c r="AH64" s="10">
        <f>SUM(BC64,BG64,BP64)</f>
        <v>602</v>
      </c>
      <c r="AI64" s="10">
        <f>SUM(BC64,BG64)</f>
        <v>401</v>
      </c>
      <c r="AJ64" s="10">
        <f>SUM(BP64,BC64)</f>
        <v>402</v>
      </c>
      <c r="AK64" s="10">
        <v>1</v>
      </c>
      <c r="AL64" s="3" t="s">
        <v>206</v>
      </c>
      <c r="AM64" s="3" t="s">
        <v>207</v>
      </c>
      <c r="AN64" s="3" t="s">
        <v>108</v>
      </c>
      <c r="AO64" s="3" t="s">
        <v>186</v>
      </c>
      <c r="AP64" s="3" t="s">
        <v>125</v>
      </c>
      <c r="AQ64" s="3">
        <v>0</v>
      </c>
      <c r="AR64" s="3">
        <v>0</v>
      </c>
      <c r="AS64" s="3" t="s">
        <v>92</v>
      </c>
      <c r="AT64" s="13" t="s">
        <v>94</v>
      </c>
      <c r="AU64" s="13" t="s">
        <v>94</v>
      </c>
      <c r="AV64" s="12">
        <f>(BD64-AZ64)/(SQRT((BB64^2+BF64^2)/2))</f>
        <v>1.3325932093055106E-2</v>
      </c>
      <c r="AW64" s="12">
        <f>(AZ64-BM64)/(SQRT((BO64^2+BB64^2)/2))</f>
        <v>-4.0756017015794961E-2</v>
      </c>
      <c r="AX64" s="12">
        <v>0.42399999999999999</v>
      </c>
      <c r="AY64" s="13"/>
      <c r="AZ64" s="3">
        <v>8.01</v>
      </c>
      <c r="BA64" s="13"/>
      <c r="BB64" s="3">
        <v>1.55</v>
      </c>
      <c r="BC64" s="10">
        <v>201</v>
      </c>
      <c r="BD64" s="3">
        <v>8.0299999999999994</v>
      </c>
      <c r="BE64" s="13"/>
      <c r="BF64" s="3">
        <v>1.45</v>
      </c>
      <c r="BG64" s="10">
        <v>200</v>
      </c>
      <c r="BH64" s="13"/>
      <c r="BI64" s="10"/>
      <c r="BJ64" s="10"/>
      <c r="BK64" s="10"/>
      <c r="BL64" s="10"/>
      <c r="BM64" s="3">
        <v>8.07</v>
      </c>
      <c r="BN64" s="13"/>
      <c r="BO64" s="3">
        <v>1.39</v>
      </c>
      <c r="BP64" s="10">
        <v>201</v>
      </c>
      <c r="BQ64" s="16"/>
      <c r="BR64" s="16"/>
      <c r="BS64" s="3" t="s">
        <v>68</v>
      </c>
      <c r="BT64" s="3">
        <v>0</v>
      </c>
      <c r="BU64" s="3">
        <v>0</v>
      </c>
      <c r="BV64" s="3">
        <v>0</v>
      </c>
      <c r="BW64" s="3">
        <v>0</v>
      </c>
      <c r="BX64" s="3">
        <v>1</v>
      </c>
      <c r="BY64" s="3">
        <v>0</v>
      </c>
      <c r="BZ64" s="3">
        <v>0</v>
      </c>
      <c r="CA64" s="3">
        <v>0</v>
      </c>
      <c r="CB64" s="3">
        <v>0</v>
      </c>
      <c r="CC64" s="3">
        <v>0</v>
      </c>
      <c r="CD64" s="3">
        <v>0</v>
      </c>
      <c r="CE64" s="3">
        <v>0</v>
      </c>
      <c r="CF64" s="3">
        <v>0</v>
      </c>
      <c r="CH64">
        <v>1</v>
      </c>
      <c r="CI64">
        <v>0</v>
      </c>
      <c r="CJ64">
        <v>1</v>
      </c>
    </row>
    <row r="65" spans="1:88" x14ac:dyDescent="0.35">
      <c r="A65" s="3" t="s">
        <v>271</v>
      </c>
      <c r="B65" s="3">
        <v>2</v>
      </c>
      <c r="C65" s="3" t="s">
        <v>209</v>
      </c>
      <c r="D65" s="3">
        <v>0</v>
      </c>
      <c r="E65" s="3">
        <v>2021</v>
      </c>
      <c r="F65" s="3">
        <v>64</v>
      </c>
      <c r="G65" s="3">
        <v>2</v>
      </c>
      <c r="H65" s="3">
        <v>25</v>
      </c>
      <c r="I65" s="3">
        <v>24</v>
      </c>
      <c r="J65" s="3">
        <v>48</v>
      </c>
      <c r="K65" s="3">
        <v>13</v>
      </c>
      <c r="L65" s="3">
        <v>2</v>
      </c>
      <c r="M65" s="3" t="s">
        <v>281</v>
      </c>
      <c r="N65" s="3">
        <v>26</v>
      </c>
      <c r="O65" s="3" t="s">
        <v>205</v>
      </c>
      <c r="P65" s="3"/>
      <c r="Q65" s="3"/>
      <c r="R65" s="3"/>
      <c r="S65" s="3"/>
      <c r="T65" s="3"/>
      <c r="U65" s="3" t="s">
        <v>194</v>
      </c>
      <c r="V65" s="3" t="s">
        <v>97</v>
      </c>
      <c r="W65" s="3" t="s">
        <v>97</v>
      </c>
      <c r="X65" s="3">
        <v>1</v>
      </c>
      <c r="Y65" s="3">
        <v>1</v>
      </c>
      <c r="Z65" s="3" t="s">
        <v>84</v>
      </c>
      <c r="AA65" s="3" t="s">
        <v>85</v>
      </c>
      <c r="AB65" s="3" t="s">
        <v>94</v>
      </c>
      <c r="AC65" s="3" t="s">
        <v>86</v>
      </c>
      <c r="AD65" s="3" t="s">
        <v>87</v>
      </c>
      <c r="AE65" s="3">
        <v>0</v>
      </c>
      <c r="AF65" s="3" t="s">
        <v>135</v>
      </c>
      <c r="AG65" s="3" t="s">
        <v>136</v>
      </c>
      <c r="AH65" s="10">
        <f>SUM(BJ65,BL65,BR65)</f>
        <v>602</v>
      </c>
      <c r="AI65" s="10">
        <f>SUM(BJ65,BL65)</f>
        <v>401</v>
      </c>
      <c r="AJ65" s="10">
        <f>SUM(BJ65,BR65)</f>
        <v>402</v>
      </c>
      <c r="AK65" s="10">
        <v>1</v>
      </c>
      <c r="AL65" s="3" t="s">
        <v>206</v>
      </c>
      <c r="AM65" s="3" t="s">
        <v>207</v>
      </c>
      <c r="AN65" s="3" t="s">
        <v>108</v>
      </c>
      <c r="AO65" s="3" t="s">
        <v>186</v>
      </c>
      <c r="AP65" s="3" t="s">
        <v>125</v>
      </c>
      <c r="AQ65" s="3">
        <v>0</v>
      </c>
      <c r="AR65" s="3">
        <v>0</v>
      </c>
      <c r="AS65" s="3" t="s">
        <v>111</v>
      </c>
      <c r="AT65" s="13" t="s">
        <v>94</v>
      </c>
      <c r="AU65" s="13" t="s">
        <v>94</v>
      </c>
      <c r="AV65" s="12">
        <f>LN((BK65/(BL65-BK65))/(BI65/(BJ65-BI65)))*(SQRT(3)/PI())</f>
        <v>7.1806278358439599E-2</v>
      </c>
      <c r="AW65" s="12">
        <f>LN((BI65/(BJ65-BI65))/(BQ65/(BR65-BQ65)))*(SQRT(3)/PI())</f>
        <v>0.24682045465358471</v>
      </c>
      <c r="AX65" s="3">
        <v>0.17499999999999999</v>
      </c>
      <c r="AY65" s="13"/>
      <c r="AZ65" s="13"/>
      <c r="BA65" s="13"/>
      <c r="BB65" s="13"/>
      <c r="BC65" s="10"/>
      <c r="BD65" s="13"/>
      <c r="BE65" s="13"/>
      <c r="BF65" s="13"/>
      <c r="BG65" s="10"/>
      <c r="BH65" s="13"/>
      <c r="BI65" s="10">
        <v>86</v>
      </c>
      <c r="BJ65" s="10">
        <v>201</v>
      </c>
      <c r="BK65" s="10">
        <v>92</v>
      </c>
      <c r="BL65" s="10">
        <v>200</v>
      </c>
      <c r="BM65" s="12"/>
      <c r="BN65" s="12"/>
      <c r="BO65" s="12"/>
      <c r="BP65" s="16"/>
      <c r="BQ65" s="10">
        <v>65</v>
      </c>
      <c r="BR65" s="10">
        <v>201</v>
      </c>
      <c r="BS65" s="3" t="s">
        <v>68</v>
      </c>
      <c r="BT65" s="3">
        <v>0</v>
      </c>
      <c r="BU65" s="3">
        <v>0</v>
      </c>
      <c r="BV65" s="3">
        <v>0</v>
      </c>
      <c r="BW65" s="3">
        <v>0</v>
      </c>
      <c r="BX65" s="3">
        <v>1</v>
      </c>
      <c r="BY65" s="3">
        <v>0</v>
      </c>
      <c r="BZ65" s="3">
        <v>0</v>
      </c>
      <c r="CA65" s="3">
        <v>0</v>
      </c>
      <c r="CB65" s="3">
        <v>0</v>
      </c>
      <c r="CC65" s="3">
        <v>0</v>
      </c>
      <c r="CD65" s="3">
        <v>0</v>
      </c>
      <c r="CE65" s="3">
        <v>0</v>
      </c>
      <c r="CF65" s="3">
        <v>0</v>
      </c>
      <c r="CH65">
        <v>1</v>
      </c>
      <c r="CI65">
        <v>0</v>
      </c>
      <c r="CJ65">
        <v>1</v>
      </c>
    </row>
    <row r="66" spans="1:88" x14ac:dyDescent="0.35">
      <c r="A66" s="3" t="s">
        <v>271</v>
      </c>
      <c r="B66" s="3">
        <v>2</v>
      </c>
      <c r="C66" s="3" t="s">
        <v>209</v>
      </c>
      <c r="D66" s="3">
        <v>0</v>
      </c>
      <c r="E66" s="3">
        <v>2021</v>
      </c>
      <c r="F66" s="3">
        <v>65</v>
      </c>
      <c r="G66" s="3">
        <v>2</v>
      </c>
      <c r="H66" s="3">
        <v>25</v>
      </c>
      <c r="I66" s="3">
        <v>24</v>
      </c>
      <c r="J66" s="3">
        <v>49</v>
      </c>
      <c r="K66" s="3">
        <v>13</v>
      </c>
      <c r="L66" s="3">
        <v>2</v>
      </c>
      <c r="M66" s="3" t="s">
        <v>281</v>
      </c>
      <c r="N66" s="3">
        <v>26</v>
      </c>
      <c r="O66" s="3" t="s">
        <v>205</v>
      </c>
      <c r="P66" s="3"/>
      <c r="Q66" s="3"/>
      <c r="R66" s="3"/>
      <c r="S66" s="3"/>
      <c r="T66" s="3"/>
      <c r="U66" s="3" t="s">
        <v>208</v>
      </c>
      <c r="V66" s="3" t="s">
        <v>82</v>
      </c>
      <c r="W66" s="3" t="s">
        <v>83</v>
      </c>
      <c r="X66" s="3">
        <v>1</v>
      </c>
      <c r="Y66" s="3">
        <v>1</v>
      </c>
      <c r="Z66" s="3" t="s">
        <v>84</v>
      </c>
      <c r="AA66" s="3" t="s">
        <v>85</v>
      </c>
      <c r="AB66" s="3" t="s">
        <v>94</v>
      </c>
      <c r="AC66" s="3" t="s">
        <v>86</v>
      </c>
      <c r="AD66" s="3" t="s">
        <v>87</v>
      </c>
      <c r="AE66" s="3">
        <v>0</v>
      </c>
      <c r="AF66" s="3" t="s">
        <v>135</v>
      </c>
      <c r="AG66" s="3" t="s">
        <v>136</v>
      </c>
      <c r="AH66" s="10">
        <f>SUM(BC66,BG66,BP66)</f>
        <v>602</v>
      </c>
      <c r="AI66" s="10">
        <f>SUM(BC66,BG66)</f>
        <v>401</v>
      </c>
      <c r="AJ66" s="10">
        <f>SUM(BP66,BC66)</f>
        <v>402</v>
      </c>
      <c r="AK66" s="10">
        <v>1</v>
      </c>
      <c r="AL66" s="3" t="s">
        <v>206</v>
      </c>
      <c r="AM66" s="3" t="s">
        <v>207</v>
      </c>
      <c r="AN66" s="3" t="s">
        <v>108</v>
      </c>
      <c r="AO66" s="3" t="s">
        <v>186</v>
      </c>
      <c r="AP66" s="3" t="s">
        <v>125</v>
      </c>
      <c r="AQ66" s="3">
        <v>2</v>
      </c>
      <c r="AR66" s="3">
        <v>0</v>
      </c>
      <c r="AS66" s="3" t="s">
        <v>92</v>
      </c>
      <c r="AT66" s="13" t="s">
        <v>94</v>
      </c>
      <c r="AU66" s="13" t="s">
        <v>94</v>
      </c>
      <c r="AV66" s="12">
        <f>(BD66-AZ66)/(SQRT((BB66^2+BF66^2)/2))</f>
        <v>-0.12648122544695717</v>
      </c>
      <c r="AW66" s="12">
        <f>(AZ66-BM66)/(SQRT((BO66^2+BB66^2)/2))</f>
        <v>-4.9332197487788672E-2</v>
      </c>
      <c r="AX66" s="3">
        <v>3.6999999999999998E-2</v>
      </c>
      <c r="AY66" s="13"/>
      <c r="AZ66" s="13">
        <v>8</v>
      </c>
      <c r="BA66" s="13"/>
      <c r="BB66" s="3">
        <v>1.27</v>
      </c>
      <c r="BC66" s="10">
        <v>201</v>
      </c>
      <c r="BD66" s="3">
        <v>7.84</v>
      </c>
      <c r="BE66" s="13"/>
      <c r="BF66" s="3">
        <v>1.26</v>
      </c>
      <c r="BG66" s="10">
        <v>200</v>
      </c>
      <c r="BH66" s="13"/>
      <c r="BI66" s="10"/>
      <c r="BJ66" s="10"/>
      <c r="BK66" s="10"/>
      <c r="BL66" s="10"/>
      <c r="BM66" s="3">
        <v>8.06</v>
      </c>
      <c r="BN66" s="13"/>
      <c r="BO66" s="3">
        <v>1.1599999999999999</v>
      </c>
      <c r="BP66" s="10">
        <v>201</v>
      </c>
      <c r="BQ66" s="16"/>
      <c r="BR66" s="16"/>
      <c r="BS66" s="3" t="s">
        <v>68</v>
      </c>
      <c r="BT66" s="3">
        <v>0</v>
      </c>
      <c r="BU66" s="3">
        <v>0</v>
      </c>
      <c r="BV66" s="3">
        <v>0</v>
      </c>
      <c r="BW66" s="3">
        <v>0</v>
      </c>
      <c r="BX66" s="3">
        <v>1</v>
      </c>
      <c r="BY66" s="3">
        <v>0</v>
      </c>
      <c r="BZ66" s="3">
        <v>0</v>
      </c>
      <c r="CA66" s="3">
        <v>0</v>
      </c>
      <c r="CB66" s="3">
        <v>0</v>
      </c>
      <c r="CC66" s="3">
        <v>0</v>
      </c>
      <c r="CD66" s="3">
        <v>0</v>
      </c>
      <c r="CE66" s="3">
        <v>0</v>
      </c>
      <c r="CF66" s="3">
        <v>0</v>
      </c>
      <c r="CH66">
        <v>1</v>
      </c>
      <c r="CI66">
        <v>0</v>
      </c>
      <c r="CJ66">
        <v>1</v>
      </c>
    </row>
    <row r="67" spans="1:88" x14ac:dyDescent="0.35">
      <c r="A67" s="3" t="s">
        <v>271</v>
      </c>
      <c r="B67" s="3">
        <v>2</v>
      </c>
      <c r="C67" s="3" t="s">
        <v>209</v>
      </c>
      <c r="D67" s="3">
        <v>0</v>
      </c>
      <c r="E67" s="3">
        <v>2021</v>
      </c>
      <c r="F67" s="3">
        <v>66</v>
      </c>
      <c r="G67" s="3">
        <v>2</v>
      </c>
      <c r="H67" s="3">
        <v>25</v>
      </c>
      <c r="I67" s="3">
        <v>24</v>
      </c>
      <c r="J67" s="3">
        <v>51</v>
      </c>
      <c r="K67" s="3">
        <v>13</v>
      </c>
      <c r="L67" s="3">
        <v>2</v>
      </c>
      <c r="M67" s="3" t="s">
        <v>281</v>
      </c>
      <c r="N67" s="3">
        <v>26</v>
      </c>
      <c r="O67" s="3" t="s">
        <v>205</v>
      </c>
      <c r="P67" s="3"/>
      <c r="Q67" s="3"/>
      <c r="R67" s="3"/>
      <c r="S67" s="3"/>
      <c r="T67" s="3"/>
      <c r="U67" s="3" t="s">
        <v>98</v>
      </c>
      <c r="V67" s="3" t="s">
        <v>82</v>
      </c>
      <c r="W67" s="3" t="s">
        <v>83</v>
      </c>
      <c r="X67" s="3">
        <v>-1</v>
      </c>
      <c r="Y67" s="3">
        <v>1</v>
      </c>
      <c r="Z67" s="3" t="s">
        <v>84</v>
      </c>
      <c r="AA67" s="3" t="s">
        <v>85</v>
      </c>
      <c r="AB67" s="3" t="s">
        <v>94</v>
      </c>
      <c r="AC67" s="3" t="s">
        <v>86</v>
      </c>
      <c r="AD67" s="3" t="s">
        <v>87</v>
      </c>
      <c r="AE67" s="3">
        <v>0</v>
      </c>
      <c r="AF67" s="3" t="s">
        <v>135</v>
      </c>
      <c r="AG67" s="3" t="s">
        <v>136</v>
      </c>
      <c r="AH67" s="10">
        <f>SUM(BC67,BG67,BP67)</f>
        <v>602</v>
      </c>
      <c r="AI67" s="10">
        <f>SUM(BC67,BG67)</f>
        <v>401</v>
      </c>
      <c r="AJ67" s="10">
        <f>SUM(BP67,BC67)</f>
        <v>402</v>
      </c>
      <c r="AK67" s="10">
        <v>1</v>
      </c>
      <c r="AL67" s="3" t="s">
        <v>206</v>
      </c>
      <c r="AM67" s="3" t="s">
        <v>207</v>
      </c>
      <c r="AN67" s="3" t="s">
        <v>108</v>
      </c>
      <c r="AO67" s="3" t="s">
        <v>186</v>
      </c>
      <c r="AP67" s="3" t="s">
        <v>125</v>
      </c>
      <c r="AQ67" s="3">
        <v>2</v>
      </c>
      <c r="AR67" s="3">
        <v>0</v>
      </c>
      <c r="AS67" s="3" t="s">
        <v>92</v>
      </c>
      <c r="AT67" s="13" t="s">
        <v>94</v>
      </c>
      <c r="AU67" s="13" t="s">
        <v>94</v>
      </c>
      <c r="AV67" s="12">
        <f>(BD67-AZ67)/(SQRT((BB67^2+BF67^2)/2))</f>
        <v>0.12384799909968858</v>
      </c>
      <c r="AW67" s="12">
        <f>(AZ67-BM67)/(SQRT((BO67^2+BB67^2)/2))</f>
        <v>0.28841625629451689</v>
      </c>
      <c r="AX67" s="13" t="s">
        <v>94</v>
      </c>
      <c r="AY67" s="13"/>
      <c r="AZ67" s="3">
        <v>2.81</v>
      </c>
      <c r="BA67" s="13"/>
      <c r="BB67" s="3">
        <v>2.16</v>
      </c>
      <c r="BC67" s="10">
        <v>201</v>
      </c>
      <c r="BD67" s="3">
        <v>3.08</v>
      </c>
      <c r="BE67" s="13"/>
      <c r="BF67" s="3">
        <v>2.2000000000000002</v>
      </c>
      <c r="BG67" s="10">
        <v>200</v>
      </c>
      <c r="BH67" s="13"/>
      <c r="BI67" s="10"/>
      <c r="BJ67" s="10"/>
      <c r="BK67" s="10"/>
      <c r="BL67" s="10"/>
      <c r="BM67" s="3">
        <v>2.23</v>
      </c>
      <c r="BN67" s="13"/>
      <c r="BO67" s="3">
        <v>1.85</v>
      </c>
      <c r="BP67" s="10">
        <v>201</v>
      </c>
      <c r="BQ67" s="16"/>
      <c r="BR67" s="16"/>
      <c r="BS67" s="3" t="s">
        <v>68</v>
      </c>
      <c r="BT67" s="3">
        <v>0</v>
      </c>
      <c r="BU67" s="3">
        <v>0</v>
      </c>
      <c r="BV67" s="3">
        <v>0</v>
      </c>
      <c r="BW67" s="3">
        <v>0</v>
      </c>
      <c r="BX67" s="3">
        <v>1</v>
      </c>
      <c r="BY67" s="3">
        <v>0</v>
      </c>
      <c r="BZ67" s="3">
        <v>0</v>
      </c>
      <c r="CA67" s="3">
        <v>0</v>
      </c>
      <c r="CB67" s="3">
        <v>0</v>
      </c>
      <c r="CC67" s="3">
        <v>0</v>
      </c>
      <c r="CD67" s="3">
        <v>0</v>
      </c>
      <c r="CE67" s="3">
        <v>0</v>
      </c>
      <c r="CF67" s="3">
        <v>0</v>
      </c>
      <c r="CH67">
        <v>1</v>
      </c>
      <c r="CI67">
        <v>0</v>
      </c>
      <c r="CJ67">
        <v>1</v>
      </c>
    </row>
    <row r="68" spans="1:88" x14ac:dyDescent="0.35">
      <c r="A68" s="3" t="s">
        <v>220</v>
      </c>
      <c r="B68" s="3">
        <v>2</v>
      </c>
      <c r="C68" s="3" t="s">
        <v>221</v>
      </c>
      <c r="D68" s="3">
        <v>0</v>
      </c>
      <c r="E68" s="3">
        <v>2021</v>
      </c>
      <c r="F68" s="3">
        <v>67</v>
      </c>
      <c r="G68" s="3">
        <v>1</v>
      </c>
      <c r="H68" s="3">
        <v>30</v>
      </c>
      <c r="I68" s="3">
        <v>27</v>
      </c>
      <c r="J68" s="3">
        <v>67</v>
      </c>
      <c r="K68" s="3">
        <v>14</v>
      </c>
      <c r="L68" s="3">
        <v>1</v>
      </c>
      <c r="M68" s="3" t="s">
        <v>280</v>
      </c>
      <c r="N68" s="3">
        <v>29</v>
      </c>
      <c r="O68" s="3" t="s">
        <v>222</v>
      </c>
      <c r="P68" s="3"/>
      <c r="Q68" s="3"/>
      <c r="R68" s="3"/>
      <c r="S68" s="3"/>
      <c r="T68" s="3"/>
      <c r="U68" s="3" t="s">
        <v>223</v>
      </c>
      <c r="V68" s="3" t="s">
        <v>97</v>
      </c>
      <c r="W68" s="3" t="s">
        <v>97</v>
      </c>
      <c r="X68" s="3">
        <v>1</v>
      </c>
      <c r="Y68" s="3">
        <v>0</v>
      </c>
      <c r="Z68" s="3" t="s">
        <v>112</v>
      </c>
      <c r="AA68" s="3">
        <v>0</v>
      </c>
      <c r="AB68" s="3" t="s">
        <v>94</v>
      </c>
      <c r="AC68" s="3" t="s">
        <v>113</v>
      </c>
      <c r="AD68" s="3" t="s">
        <v>114</v>
      </c>
      <c r="AE68" s="3">
        <v>0</v>
      </c>
      <c r="AF68" s="3" t="s">
        <v>121</v>
      </c>
      <c r="AG68" s="3" t="s">
        <v>121</v>
      </c>
      <c r="AH68" s="10">
        <f>SUM(BJ68,BL68,BR68)</f>
        <v>300</v>
      </c>
      <c r="AI68" s="10">
        <f>SUM(BJ68,BL68)</f>
        <v>200</v>
      </c>
      <c r="AJ68" s="10">
        <f>SUM(BJ68,BR68)</f>
        <v>200</v>
      </c>
      <c r="AK68" s="10">
        <v>0</v>
      </c>
      <c r="AL68" s="3">
        <v>37</v>
      </c>
      <c r="AM68" s="3" t="s">
        <v>224</v>
      </c>
      <c r="AN68" s="3" t="s">
        <v>108</v>
      </c>
      <c r="AO68" s="3" t="s">
        <v>124</v>
      </c>
      <c r="AP68" s="3" t="s">
        <v>125</v>
      </c>
      <c r="AQ68" s="3">
        <v>0</v>
      </c>
      <c r="AR68" s="3">
        <v>1</v>
      </c>
      <c r="AS68" s="3" t="s">
        <v>111</v>
      </c>
      <c r="AT68" s="13" t="s">
        <v>94</v>
      </c>
      <c r="AU68" s="13" t="s">
        <v>94</v>
      </c>
      <c r="AV68" s="12">
        <f>LN((BK68/(BL68-BK68))/(BI68/(BJ68-BI68)))*(SQRT(3)/PI())</f>
        <v>-8.2173789917502765E-2</v>
      </c>
      <c r="AW68" s="12">
        <f>LN((BI68/(BJ68-BI68))/(BQ68/(BR68-BQ68)))*(SQRT(3)/PI())</f>
        <v>0.3167730472901365</v>
      </c>
      <c r="AX68" s="13"/>
      <c r="AY68" s="13"/>
      <c r="AZ68" s="13"/>
      <c r="BA68" s="13"/>
      <c r="BB68" s="13"/>
      <c r="BC68" s="10"/>
      <c r="BD68" s="13"/>
      <c r="BE68" s="13"/>
      <c r="BF68" s="13"/>
      <c r="BG68" s="10"/>
      <c r="BH68" s="13"/>
      <c r="BI68" s="16">
        <f>1/2.21*1.33*BJ68</f>
        <v>60.180995475113129</v>
      </c>
      <c r="BJ68" s="16">
        <v>100</v>
      </c>
      <c r="BK68" s="16">
        <f>1/2.21*1.25*BL68</f>
        <v>56.561085972850677</v>
      </c>
      <c r="BL68" s="16">
        <v>100</v>
      </c>
      <c r="BM68" s="12"/>
      <c r="BN68" s="12"/>
      <c r="BO68" s="12"/>
      <c r="BP68" s="16"/>
      <c r="BQ68" s="16">
        <f>0.4597*BR68</f>
        <v>45.97</v>
      </c>
      <c r="BR68" s="16">
        <v>100</v>
      </c>
      <c r="BS68" s="3" t="s">
        <v>69</v>
      </c>
      <c r="BT68" s="3" t="s">
        <v>70</v>
      </c>
      <c r="BU68" s="3" t="s">
        <v>68</v>
      </c>
      <c r="BV68" s="3" t="s">
        <v>74</v>
      </c>
      <c r="BW68" s="3">
        <v>0</v>
      </c>
      <c r="BX68" s="3">
        <v>1</v>
      </c>
      <c r="BY68" s="3">
        <v>1</v>
      </c>
      <c r="BZ68" s="3">
        <v>1</v>
      </c>
      <c r="CA68" s="3">
        <v>0</v>
      </c>
      <c r="CB68" s="3">
        <v>0</v>
      </c>
      <c r="CC68" s="3">
        <v>0</v>
      </c>
      <c r="CD68" s="3">
        <v>1</v>
      </c>
      <c r="CE68" s="3">
        <v>0</v>
      </c>
      <c r="CF68" s="3">
        <v>0</v>
      </c>
      <c r="CH68">
        <v>1</v>
      </c>
      <c r="CI68">
        <v>0</v>
      </c>
      <c r="CJ68">
        <v>1</v>
      </c>
    </row>
    <row r="69" spans="1:88" x14ac:dyDescent="0.35">
      <c r="A69" s="3" t="s">
        <v>220</v>
      </c>
      <c r="B69" s="3">
        <v>2</v>
      </c>
      <c r="C69" s="3" t="s">
        <v>221</v>
      </c>
      <c r="D69" s="3">
        <v>0</v>
      </c>
      <c r="E69" s="3">
        <v>2021</v>
      </c>
      <c r="F69" s="3">
        <v>68</v>
      </c>
      <c r="G69" s="3">
        <v>1</v>
      </c>
      <c r="H69" s="3">
        <v>30</v>
      </c>
      <c r="I69" s="3">
        <v>27</v>
      </c>
      <c r="J69" s="3">
        <v>68</v>
      </c>
      <c r="K69" s="3">
        <v>14</v>
      </c>
      <c r="L69" s="3">
        <v>1</v>
      </c>
      <c r="M69" s="3" t="s">
        <v>280</v>
      </c>
      <c r="N69" s="3">
        <v>29</v>
      </c>
      <c r="O69" s="3" t="s">
        <v>222</v>
      </c>
      <c r="P69" s="3"/>
      <c r="Q69" s="3"/>
      <c r="R69" s="3"/>
      <c r="S69" s="3"/>
      <c r="T69" s="3"/>
      <c r="U69" s="3" t="s">
        <v>225</v>
      </c>
      <c r="V69" s="3" t="s">
        <v>97</v>
      </c>
      <c r="W69" s="3" t="s">
        <v>97</v>
      </c>
      <c r="X69" s="3">
        <v>1</v>
      </c>
      <c r="Y69" s="3">
        <v>0</v>
      </c>
      <c r="Z69" s="3" t="s">
        <v>112</v>
      </c>
      <c r="AA69" s="3">
        <v>0</v>
      </c>
      <c r="AB69" s="3">
        <v>1</v>
      </c>
      <c r="AC69" s="3" t="s">
        <v>113</v>
      </c>
      <c r="AD69" s="3" t="s">
        <v>114</v>
      </c>
      <c r="AE69" s="3">
        <v>0</v>
      </c>
      <c r="AF69" s="3" t="s">
        <v>121</v>
      </c>
      <c r="AG69" s="3" t="s">
        <v>121</v>
      </c>
      <c r="AH69" s="10">
        <f>SUM(BJ69,BL69,BR69)</f>
        <v>300</v>
      </c>
      <c r="AI69" s="10">
        <f>SUM(BJ69,BL69)</f>
        <v>200</v>
      </c>
      <c r="AJ69" s="10">
        <f>SUM(BJ69,BR69)</f>
        <v>200</v>
      </c>
      <c r="AK69" s="10">
        <v>0</v>
      </c>
      <c r="AL69" s="3">
        <v>37</v>
      </c>
      <c r="AM69" s="3" t="s">
        <v>224</v>
      </c>
      <c r="AN69" s="3" t="s">
        <v>108</v>
      </c>
      <c r="AO69" s="3" t="s">
        <v>124</v>
      </c>
      <c r="AP69" s="3" t="s">
        <v>125</v>
      </c>
      <c r="AQ69" s="3">
        <v>0</v>
      </c>
      <c r="AR69" s="3">
        <v>1</v>
      </c>
      <c r="AS69" s="3" t="s">
        <v>111</v>
      </c>
      <c r="AT69" s="13" t="s">
        <v>94</v>
      </c>
      <c r="AU69" s="13" t="s">
        <v>94</v>
      </c>
      <c r="AV69" s="12">
        <f>LN((BK69/(BL69-BK69))/(BI69/(BJ69-BI69)))*(SQRT(3)/PI())</f>
        <v>0</v>
      </c>
      <c r="AW69" s="12">
        <f>LN((BI69/(BJ69-BI69))/(BQ69/(BR69-BQ69)))*(SQRT(3)/PI())</f>
        <v>-0.53239661652681602</v>
      </c>
      <c r="AX69" s="13"/>
      <c r="AY69" s="13"/>
      <c r="AZ69" s="13"/>
      <c r="BA69" s="13"/>
      <c r="BB69" s="13"/>
      <c r="BC69" s="10"/>
      <c r="BD69" s="13"/>
      <c r="BE69" s="13"/>
      <c r="BF69" s="13"/>
      <c r="BG69" s="10"/>
      <c r="BH69" s="13"/>
      <c r="BI69" s="16">
        <f>1/2.21*0.18*BJ69</f>
        <v>8.1447963800904972</v>
      </c>
      <c r="BJ69" s="16">
        <v>100</v>
      </c>
      <c r="BK69" s="16">
        <f>1/2.21*0.18*BL69</f>
        <v>8.1447963800904972</v>
      </c>
      <c r="BL69" s="16">
        <v>100</v>
      </c>
      <c r="BM69" s="12"/>
      <c r="BN69" s="12"/>
      <c r="BO69" s="12"/>
      <c r="BP69" s="16"/>
      <c r="BQ69" s="16">
        <f>0.1889*BR69</f>
        <v>18.89</v>
      </c>
      <c r="BR69" s="16">
        <v>100</v>
      </c>
      <c r="BS69" s="3" t="s">
        <v>69</v>
      </c>
      <c r="BT69" s="3" t="s">
        <v>70</v>
      </c>
      <c r="BU69" s="3" t="s">
        <v>68</v>
      </c>
      <c r="BV69" s="3" t="s">
        <v>74</v>
      </c>
      <c r="BW69" s="3">
        <v>0</v>
      </c>
      <c r="BX69" s="3">
        <v>1</v>
      </c>
      <c r="BY69" s="3">
        <v>1</v>
      </c>
      <c r="BZ69" s="3">
        <v>1</v>
      </c>
      <c r="CA69" s="3">
        <v>0</v>
      </c>
      <c r="CB69" s="3">
        <v>0</v>
      </c>
      <c r="CC69" s="3">
        <v>0</v>
      </c>
      <c r="CD69" s="3">
        <v>1</v>
      </c>
      <c r="CE69" s="3">
        <v>0</v>
      </c>
      <c r="CF69" s="3">
        <v>0</v>
      </c>
      <c r="CH69">
        <v>1</v>
      </c>
      <c r="CI69">
        <v>0</v>
      </c>
      <c r="CJ69">
        <v>1</v>
      </c>
    </row>
    <row r="70" spans="1:88" x14ac:dyDescent="0.35">
      <c r="A70" s="4" t="s">
        <v>303</v>
      </c>
      <c r="B70" s="4"/>
      <c r="C70" s="4"/>
      <c r="D70" s="4">
        <v>1</v>
      </c>
      <c r="E70" s="4">
        <v>2023</v>
      </c>
      <c r="F70" s="3">
        <v>69</v>
      </c>
      <c r="G70" s="4"/>
      <c r="H70" s="4">
        <v>38</v>
      </c>
      <c r="I70" s="4">
        <v>28</v>
      </c>
      <c r="J70" s="4"/>
      <c r="K70" s="4">
        <v>15</v>
      </c>
      <c r="L70" s="4"/>
      <c r="M70" s="4" t="s">
        <v>280</v>
      </c>
      <c r="N70" s="4">
        <v>29</v>
      </c>
      <c r="O70" s="4" t="s">
        <v>304</v>
      </c>
      <c r="P70" s="4"/>
      <c r="Q70" s="4"/>
      <c r="R70" s="4"/>
      <c r="S70" s="4"/>
      <c r="T70" s="4"/>
      <c r="U70" s="3" t="s">
        <v>223</v>
      </c>
      <c r="V70" s="4" t="s">
        <v>97</v>
      </c>
      <c r="W70" s="4" t="s">
        <v>97</v>
      </c>
      <c r="X70" s="4">
        <v>1</v>
      </c>
      <c r="Y70" s="4"/>
      <c r="Z70" s="4" t="s">
        <v>112</v>
      </c>
      <c r="AA70" s="4">
        <v>0</v>
      </c>
      <c r="AB70" s="4">
        <v>0</v>
      </c>
      <c r="AC70" s="3" t="s">
        <v>113</v>
      </c>
      <c r="AD70" s="3" t="s">
        <v>114</v>
      </c>
      <c r="AE70" s="4">
        <v>0</v>
      </c>
      <c r="AF70" s="4" t="s">
        <v>121</v>
      </c>
      <c r="AG70" s="4" t="s">
        <v>121</v>
      </c>
      <c r="AH70" s="4">
        <v>600</v>
      </c>
      <c r="AI70" s="10">
        <f>SUM(BC70,BG70)</f>
        <v>201</v>
      </c>
      <c r="AJ70" s="10">
        <f>SUM(BP70,BC70)</f>
        <v>199</v>
      </c>
      <c r="AK70" s="4">
        <v>1</v>
      </c>
      <c r="AL70" s="4">
        <v>36.93</v>
      </c>
      <c r="AM70" s="4">
        <v>0.63</v>
      </c>
      <c r="AN70" s="4" t="s">
        <v>108</v>
      </c>
      <c r="AO70" s="4" t="s">
        <v>124</v>
      </c>
      <c r="AP70" s="4" t="s">
        <v>125</v>
      </c>
      <c r="AQ70" s="4"/>
      <c r="AR70" s="4"/>
      <c r="AS70" s="4" t="s">
        <v>92</v>
      </c>
      <c r="AT70" s="4"/>
      <c r="AU70" s="4"/>
      <c r="AV70" s="12">
        <f>(BD70-AZ70)/(SQRT((BB70^2+BF70^2)/2))</f>
        <v>-9.186614115345125E-2</v>
      </c>
      <c r="AW70" s="12">
        <f>(AZ70-BM70)/(SQRT((BO70^2+BB70^2)/2))</f>
        <v>0.48036570374158677</v>
      </c>
      <c r="AX70" s="4"/>
      <c r="AY70" s="4"/>
      <c r="AZ70">
        <v>60.33</v>
      </c>
      <c r="BB70">
        <v>27.81</v>
      </c>
      <c r="BC70">
        <v>100</v>
      </c>
      <c r="BD70">
        <v>57.76</v>
      </c>
      <c r="BF70">
        <v>28.14</v>
      </c>
      <c r="BG70" s="4">
        <v>101</v>
      </c>
      <c r="BH70" s="4"/>
      <c r="BI70" s="4"/>
      <c r="BJ70" s="4"/>
      <c r="BK70" s="4"/>
      <c r="BL70" s="4"/>
      <c r="BM70" s="1">
        <v>46.3</v>
      </c>
      <c r="BO70" s="1">
        <v>30.54</v>
      </c>
      <c r="BP70" s="1">
        <v>99</v>
      </c>
      <c r="BS70" s="4"/>
      <c r="BT70" s="4"/>
      <c r="BU70" s="4"/>
      <c r="BV70" s="4"/>
      <c r="BW70" s="4"/>
      <c r="BX70" s="4"/>
      <c r="BY70" s="4"/>
      <c r="BZ70" s="4"/>
      <c r="CA70" s="4"/>
      <c r="CB70" s="4"/>
      <c r="CC70" s="4"/>
      <c r="CD70" s="4"/>
      <c r="CE70" s="4"/>
      <c r="CF70" s="4"/>
      <c r="CG70" s="7"/>
      <c r="CH70" s="7"/>
      <c r="CI70" s="7"/>
      <c r="CJ70" s="7"/>
    </row>
    <row r="71" spans="1:88" x14ac:dyDescent="0.35">
      <c r="A71" s="4" t="s">
        <v>303</v>
      </c>
      <c r="B71" s="4"/>
      <c r="C71" s="4"/>
      <c r="D71" s="4">
        <v>1</v>
      </c>
      <c r="E71" s="4">
        <v>2023</v>
      </c>
      <c r="F71" s="3">
        <v>70</v>
      </c>
      <c r="G71" s="4"/>
      <c r="H71" s="4">
        <v>38</v>
      </c>
      <c r="I71" s="4">
        <v>28</v>
      </c>
      <c r="J71" s="4"/>
      <c r="K71" s="4">
        <v>15</v>
      </c>
      <c r="L71" s="4"/>
      <c r="M71" s="4" t="s">
        <v>280</v>
      </c>
      <c r="N71" s="4">
        <v>29</v>
      </c>
      <c r="O71" t="s">
        <v>304</v>
      </c>
      <c r="P71" s="4"/>
      <c r="Q71" s="4"/>
      <c r="R71" s="4"/>
      <c r="S71" s="4"/>
      <c r="T71" s="4"/>
      <c r="U71" s="3" t="s">
        <v>225</v>
      </c>
      <c r="V71" s="4" t="s">
        <v>97</v>
      </c>
      <c r="W71" s="4" t="s">
        <v>97</v>
      </c>
      <c r="X71" s="4">
        <v>1</v>
      </c>
      <c r="Y71" s="4"/>
      <c r="Z71" s="4" t="s">
        <v>112</v>
      </c>
      <c r="AA71" s="4">
        <v>0</v>
      </c>
      <c r="AB71" s="4">
        <v>1</v>
      </c>
      <c r="AC71" s="3" t="s">
        <v>113</v>
      </c>
      <c r="AD71" s="3" t="s">
        <v>114</v>
      </c>
      <c r="AE71" s="4">
        <v>0</v>
      </c>
      <c r="AF71" s="4" t="s">
        <v>121</v>
      </c>
      <c r="AG71" s="4" t="s">
        <v>121</v>
      </c>
      <c r="AH71" s="4">
        <v>600</v>
      </c>
      <c r="AI71" s="10">
        <f>SUM(BC71,BG71)</f>
        <v>201</v>
      </c>
      <c r="AJ71" s="10">
        <f>SUM(BP71,BC71)</f>
        <v>199</v>
      </c>
      <c r="AK71" s="4">
        <v>1</v>
      </c>
      <c r="AL71" s="4">
        <v>36.93</v>
      </c>
      <c r="AM71" s="4">
        <v>0.63</v>
      </c>
      <c r="AN71" s="4" t="s">
        <v>108</v>
      </c>
      <c r="AO71" s="4" t="s">
        <v>124</v>
      </c>
      <c r="AP71" s="4" t="s">
        <v>125</v>
      </c>
      <c r="AQ71" s="4"/>
      <c r="AR71" s="4"/>
      <c r="AS71" s="4" t="s">
        <v>92</v>
      </c>
      <c r="AT71" s="4"/>
      <c r="AU71" s="4"/>
      <c r="AV71" s="12">
        <f>(BD71-AZ71)/(SQRT((BB71^2+BF71^2)/2))</f>
        <v>6.3175296103846531E-3</v>
      </c>
      <c r="AW71" s="12">
        <f>(AZ71-BM71)/(SQRT((BO71^2+BB71^2)/2))</f>
        <v>-0.67445299671779735</v>
      </c>
      <c r="AX71" s="4"/>
      <c r="AY71" s="4"/>
      <c r="AZ71" s="4">
        <v>7.17</v>
      </c>
      <c r="BA71" s="4"/>
      <c r="BB71" s="4">
        <v>14.07</v>
      </c>
      <c r="BC71" s="4">
        <v>100</v>
      </c>
      <c r="BD71" s="4">
        <v>7.26</v>
      </c>
      <c r="BE71" s="4"/>
      <c r="BF71" s="4">
        <v>14.42</v>
      </c>
      <c r="BG71" s="4">
        <v>101</v>
      </c>
      <c r="BH71" s="4"/>
      <c r="BI71" s="4"/>
      <c r="BJ71" s="4"/>
      <c r="BK71" s="4"/>
      <c r="BL71" s="4"/>
      <c r="BM71" s="1">
        <v>19.02</v>
      </c>
      <c r="BO71" s="1">
        <v>20.48</v>
      </c>
      <c r="BP71">
        <v>99</v>
      </c>
      <c r="BS71" s="4"/>
      <c r="BT71" s="4"/>
      <c r="BU71" s="4"/>
      <c r="BV71" s="4"/>
      <c r="BW71" s="4"/>
      <c r="BX71" s="4"/>
      <c r="BY71" s="4"/>
      <c r="BZ71" s="4"/>
      <c r="CA71" s="4"/>
      <c r="CB71" s="4"/>
      <c r="CC71" s="4"/>
      <c r="CD71" s="4"/>
      <c r="CE71" s="4"/>
      <c r="CF71" s="4"/>
      <c r="CG71" s="7"/>
      <c r="CH71" s="7"/>
      <c r="CI71" s="7"/>
      <c r="CJ71" s="7"/>
    </row>
    <row r="72" spans="1:88" x14ac:dyDescent="0.35">
      <c r="A72" s="3" t="s">
        <v>226</v>
      </c>
      <c r="B72" s="3">
        <v>1</v>
      </c>
      <c r="C72" s="3" t="s">
        <v>227</v>
      </c>
      <c r="D72" s="3">
        <v>0</v>
      </c>
      <c r="E72" s="3">
        <v>2018</v>
      </c>
      <c r="F72" s="3">
        <v>71</v>
      </c>
      <c r="G72" s="3">
        <v>1</v>
      </c>
      <c r="H72" s="3">
        <v>10</v>
      </c>
      <c r="I72" s="3">
        <v>29</v>
      </c>
      <c r="J72" s="3">
        <v>17</v>
      </c>
      <c r="K72" s="3">
        <v>16</v>
      </c>
      <c r="L72" s="3">
        <v>3</v>
      </c>
      <c r="M72" s="3" t="s">
        <v>279</v>
      </c>
      <c r="N72" s="3">
        <v>8</v>
      </c>
      <c r="O72" s="3" t="s">
        <v>228</v>
      </c>
      <c r="P72" s="3" t="s">
        <v>72</v>
      </c>
      <c r="Q72" s="3" t="s">
        <v>69</v>
      </c>
      <c r="R72" s="3" t="s">
        <v>68</v>
      </c>
      <c r="S72" s="3" t="s">
        <v>74</v>
      </c>
      <c r="T72" s="3" t="s">
        <v>75</v>
      </c>
      <c r="U72" s="3" t="s">
        <v>229</v>
      </c>
      <c r="V72" s="3" t="s">
        <v>82</v>
      </c>
      <c r="W72" s="3" t="s">
        <v>177</v>
      </c>
      <c r="X72" s="3">
        <v>1</v>
      </c>
      <c r="Y72" s="3">
        <v>0</v>
      </c>
      <c r="Z72" s="3" t="s">
        <v>84</v>
      </c>
      <c r="AA72" s="3" t="s">
        <v>85</v>
      </c>
      <c r="AB72" s="3" t="s">
        <v>94</v>
      </c>
      <c r="AC72" s="3" t="s">
        <v>86</v>
      </c>
      <c r="AD72" s="3" t="s">
        <v>87</v>
      </c>
      <c r="AE72" s="3">
        <v>0</v>
      </c>
      <c r="AF72" s="3" t="s">
        <v>230</v>
      </c>
      <c r="AG72" s="3" t="s">
        <v>162</v>
      </c>
      <c r="AH72" s="10">
        <f>SUM(BC72,BG72,BP72)</f>
        <v>165</v>
      </c>
      <c r="AI72" s="10">
        <f>SUM(BC72,BG72)</f>
        <v>165</v>
      </c>
      <c r="AJ72" s="10" t="s">
        <v>94</v>
      </c>
      <c r="AK72" s="10">
        <v>0</v>
      </c>
      <c r="AL72" s="3">
        <v>33.6</v>
      </c>
      <c r="AM72" s="3">
        <v>0.27</v>
      </c>
      <c r="AN72" s="3" t="s">
        <v>108</v>
      </c>
      <c r="AO72" s="3" t="s">
        <v>268</v>
      </c>
      <c r="AP72" s="3" t="s">
        <v>125</v>
      </c>
      <c r="AQ72" s="3">
        <v>0</v>
      </c>
      <c r="AR72" s="3">
        <v>0</v>
      </c>
      <c r="AS72" s="3" t="s">
        <v>92</v>
      </c>
      <c r="AT72" s="3">
        <v>0.12</v>
      </c>
      <c r="AU72" s="3">
        <v>0.08</v>
      </c>
      <c r="AV72" s="12">
        <f>(BD72-AZ72)/(SQRT((BB72^2+BF72^2)/2))</f>
        <v>0.1375064457657213</v>
      </c>
      <c r="AW72" s="12" t="s">
        <v>94</v>
      </c>
      <c r="AX72" s="12">
        <v>0.13800000000000001</v>
      </c>
      <c r="AY72" s="13"/>
      <c r="AZ72" s="3">
        <v>3.68</v>
      </c>
      <c r="BA72" s="13"/>
      <c r="BB72" s="3">
        <v>0.85399999999999998</v>
      </c>
      <c r="BC72" s="10">
        <v>80</v>
      </c>
      <c r="BD72" s="3">
        <v>3.79</v>
      </c>
      <c r="BE72" s="13"/>
      <c r="BF72" s="3">
        <v>0.74199999999999999</v>
      </c>
      <c r="BG72" s="10">
        <v>85</v>
      </c>
      <c r="BH72" s="13"/>
      <c r="BI72" s="10"/>
      <c r="BJ72" s="10"/>
      <c r="BK72" s="10"/>
      <c r="BL72" s="10"/>
      <c r="BM72" s="12" t="s">
        <v>94</v>
      </c>
      <c r="BN72" s="12" t="s">
        <v>94</v>
      </c>
      <c r="BO72" s="12" t="s">
        <v>94</v>
      </c>
      <c r="BP72" s="16" t="s">
        <v>94</v>
      </c>
      <c r="BQ72" s="16" t="s">
        <v>94</v>
      </c>
      <c r="BR72" s="16" t="s">
        <v>94</v>
      </c>
      <c r="BS72" s="3" t="s">
        <v>72</v>
      </c>
      <c r="BT72" s="3" t="s">
        <v>69</v>
      </c>
      <c r="BU72" s="3" t="s">
        <v>68</v>
      </c>
      <c r="BV72" s="3" t="s">
        <v>74</v>
      </c>
      <c r="BW72" s="3" t="s">
        <v>75</v>
      </c>
      <c r="BX72" s="3">
        <v>1</v>
      </c>
      <c r="BY72" s="3">
        <v>1</v>
      </c>
      <c r="BZ72" s="3">
        <v>0</v>
      </c>
      <c r="CA72" s="3">
        <v>0</v>
      </c>
      <c r="CB72" s="3">
        <v>1</v>
      </c>
      <c r="CC72" s="3">
        <v>0</v>
      </c>
      <c r="CD72" s="3">
        <v>1</v>
      </c>
      <c r="CE72" s="3">
        <v>1</v>
      </c>
      <c r="CF72" s="3">
        <v>0</v>
      </c>
      <c r="CH72">
        <v>1</v>
      </c>
      <c r="CI72">
        <v>0</v>
      </c>
      <c r="CJ72">
        <v>0</v>
      </c>
    </row>
    <row r="73" spans="1:88" x14ac:dyDescent="0.35">
      <c r="A73" s="3" t="s">
        <v>226</v>
      </c>
      <c r="B73" s="3">
        <v>1</v>
      </c>
      <c r="C73" s="3" t="s">
        <v>227</v>
      </c>
      <c r="D73" s="3">
        <v>0</v>
      </c>
      <c r="E73" s="3">
        <v>2018</v>
      </c>
      <c r="F73" s="3">
        <v>72</v>
      </c>
      <c r="G73" s="3">
        <v>1</v>
      </c>
      <c r="H73" s="3">
        <v>10</v>
      </c>
      <c r="I73" s="3">
        <v>29</v>
      </c>
      <c r="J73" s="3">
        <v>16</v>
      </c>
      <c r="K73" s="3">
        <v>16</v>
      </c>
      <c r="L73" s="3">
        <v>3</v>
      </c>
      <c r="M73" s="3" t="s">
        <v>279</v>
      </c>
      <c r="N73" s="3">
        <v>8</v>
      </c>
      <c r="O73" s="3" t="s">
        <v>228</v>
      </c>
      <c r="P73" s="3" t="s">
        <v>72</v>
      </c>
      <c r="Q73" s="3" t="s">
        <v>69</v>
      </c>
      <c r="R73" s="3" t="s">
        <v>68</v>
      </c>
      <c r="S73" s="3" t="s">
        <v>74</v>
      </c>
      <c r="T73" s="3" t="s">
        <v>75</v>
      </c>
      <c r="U73" s="3" t="s">
        <v>232</v>
      </c>
      <c r="V73" s="3" t="s">
        <v>97</v>
      </c>
      <c r="W73" s="3" t="s">
        <v>97</v>
      </c>
      <c r="X73" s="3">
        <v>1</v>
      </c>
      <c r="Y73" s="3">
        <v>1</v>
      </c>
      <c r="Z73" s="3" t="s">
        <v>84</v>
      </c>
      <c r="AA73" s="3" t="s">
        <v>85</v>
      </c>
      <c r="AB73" s="3" t="s">
        <v>94</v>
      </c>
      <c r="AC73" s="3" t="s">
        <v>86</v>
      </c>
      <c r="AD73" s="3" t="s">
        <v>87</v>
      </c>
      <c r="AE73" s="3">
        <v>0</v>
      </c>
      <c r="AF73" s="3" t="s">
        <v>230</v>
      </c>
      <c r="AG73" s="3" t="s">
        <v>162</v>
      </c>
      <c r="AH73" s="10">
        <f>SUM(BJ73,BL73,BR73)</f>
        <v>165</v>
      </c>
      <c r="AI73" s="10">
        <f>SUM(BJ73,BL73)</f>
        <v>165</v>
      </c>
      <c r="AJ73" s="10" t="s">
        <v>94</v>
      </c>
      <c r="AK73" s="10">
        <v>0</v>
      </c>
      <c r="AL73" s="3">
        <v>33.6</v>
      </c>
      <c r="AM73" s="3">
        <v>0.27</v>
      </c>
      <c r="AN73" s="3" t="s">
        <v>108</v>
      </c>
      <c r="AO73" s="3" t="s">
        <v>268</v>
      </c>
      <c r="AP73" s="3" t="s">
        <v>125</v>
      </c>
      <c r="AQ73" s="3">
        <v>1</v>
      </c>
      <c r="AR73" s="3">
        <v>0</v>
      </c>
      <c r="AS73" s="3" t="s">
        <v>111</v>
      </c>
      <c r="AT73" s="11">
        <v>-0.73</v>
      </c>
      <c r="AU73" s="3">
        <v>0.28999999999999998</v>
      </c>
      <c r="AV73" s="17">
        <f>LN((BK73/(BL73-BK73))/(BI73/(BJ73-BI73)))*(SQRT(3)/PI())</f>
        <v>0.3057484980215513</v>
      </c>
      <c r="AW73" s="12" t="s">
        <v>94</v>
      </c>
      <c r="AX73" s="12">
        <v>1.0999999999999999E-2</v>
      </c>
      <c r="AY73" s="13"/>
      <c r="AZ73" s="13"/>
      <c r="BA73" s="13"/>
      <c r="BB73" s="13"/>
      <c r="BC73" s="10"/>
      <c r="BD73" s="13"/>
      <c r="BE73" s="13"/>
      <c r="BF73" s="13"/>
      <c r="BG73" s="10"/>
      <c r="BH73" s="13"/>
      <c r="BI73" s="10">
        <f>80-41</f>
        <v>39</v>
      </c>
      <c r="BJ73" s="10">
        <v>80</v>
      </c>
      <c r="BK73" s="10">
        <f>85-32</f>
        <v>53</v>
      </c>
      <c r="BL73" s="10">
        <v>85</v>
      </c>
      <c r="BM73" s="12" t="s">
        <v>94</v>
      </c>
      <c r="BN73" s="12" t="s">
        <v>94</v>
      </c>
      <c r="BO73" s="12" t="s">
        <v>94</v>
      </c>
      <c r="BP73" s="16" t="s">
        <v>94</v>
      </c>
      <c r="BQ73" s="16" t="s">
        <v>94</v>
      </c>
      <c r="BR73" s="16" t="s">
        <v>94</v>
      </c>
      <c r="BS73" s="3" t="s">
        <v>72</v>
      </c>
      <c r="BT73" s="3" t="s">
        <v>69</v>
      </c>
      <c r="BU73" s="3" t="s">
        <v>68</v>
      </c>
      <c r="BV73" s="3" t="s">
        <v>74</v>
      </c>
      <c r="BW73" s="3" t="s">
        <v>75</v>
      </c>
      <c r="BX73" s="3">
        <v>1</v>
      </c>
      <c r="BY73" s="3">
        <v>1</v>
      </c>
      <c r="BZ73" s="3">
        <v>0</v>
      </c>
      <c r="CA73" s="3">
        <v>0</v>
      </c>
      <c r="CB73" s="3">
        <v>1</v>
      </c>
      <c r="CC73" s="3">
        <v>0</v>
      </c>
      <c r="CD73" s="3">
        <v>1</v>
      </c>
      <c r="CE73" s="3">
        <v>1</v>
      </c>
      <c r="CF73" s="3">
        <v>0</v>
      </c>
      <c r="CH73">
        <v>1</v>
      </c>
      <c r="CI73">
        <v>0</v>
      </c>
      <c r="CJ73">
        <v>0</v>
      </c>
    </row>
    <row r="74" spans="1:88" x14ac:dyDescent="0.35">
      <c r="A74" s="3" t="s">
        <v>226</v>
      </c>
      <c r="B74" s="3">
        <v>1</v>
      </c>
      <c r="C74" s="3" t="s">
        <v>227</v>
      </c>
      <c r="D74" s="3">
        <v>0</v>
      </c>
      <c r="E74" s="3">
        <v>2018</v>
      </c>
      <c r="F74" s="3">
        <v>73</v>
      </c>
      <c r="G74" s="3">
        <v>2</v>
      </c>
      <c r="H74" s="3">
        <v>11</v>
      </c>
      <c r="I74" s="3">
        <v>30</v>
      </c>
      <c r="J74" s="3">
        <v>19</v>
      </c>
      <c r="K74" s="3">
        <v>16</v>
      </c>
      <c r="L74" s="3">
        <v>3</v>
      </c>
      <c r="M74" s="3" t="s">
        <v>278</v>
      </c>
      <c r="N74" s="3">
        <v>8</v>
      </c>
      <c r="O74" s="3" t="s">
        <v>228</v>
      </c>
      <c r="P74" s="3" t="s">
        <v>72</v>
      </c>
      <c r="Q74" s="3" t="s">
        <v>69</v>
      </c>
      <c r="R74" s="3" t="s">
        <v>68</v>
      </c>
      <c r="S74" s="3" t="s">
        <v>74</v>
      </c>
      <c r="T74" s="3" t="s">
        <v>75</v>
      </c>
      <c r="U74" s="3" t="s">
        <v>231</v>
      </c>
      <c r="V74" s="3" t="s">
        <v>82</v>
      </c>
      <c r="W74" s="3" t="s">
        <v>83</v>
      </c>
      <c r="X74" s="3">
        <v>-1</v>
      </c>
      <c r="Y74" s="3">
        <v>0</v>
      </c>
      <c r="Z74" s="3" t="s">
        <v>84</v>
      </c>
      <c r="AA74" s="3" t="s">
        <v>85</v>
      </c>
      <c r="AB74" s="3" t="s">
        <v>94</v>
      </c>
      <c r="AC74" s="3" t="s">
        <v>86</v>
      </c>
      <c r="AD74" s="3" t="s">
        <v>87</v>
      </c>
      <c r="AE74" s="3">
        <v>0</v>
      </c>
      <c r="AF74" s="3" t="s">
        <v>230</v>
      </c>
      <c r="AG74" s="3" t="s">
        <v>162</v>
      </c>
      <c r="AH74" s="10">
        <f>SUM(BC74,BG74,BP74)</f>
        <v>158</v>
      </c>
      <c r="AI74" s="10">
        <f>SUM(BC74,BG74)</f>
        <v>158</v>
      </c>
      <c r="AJ74" s="10" t="s">
        <v>94</v>
      </c>
      <c r="AK74" s="10">
        <v>1</v>
      </c>
      <c r="AL74" s="3">
        <v>24.9</v>
      </c>
      <c r="AM74" s="3">
        <v>0.79</v>
      </c>
      <c r="AN74" s="3" t="s">
        <v>108</v>
      </c>
      <c r="AO74" s="3" t="s">
        <v>286</v>
      </c>
      <c r="AP74" s="3" t="s">
        <v>125</v>
      </c>
      <c r="AQ74" s="3">
        <v>1</v>
      </c>
      <c r="AR74" s="3">
        <v>0</v>
      </c>
      <c r="AS74" s="3" t="s">
        <v>111</v>
      </c>
      <c r="AT74" s="11">
        <v>-0.33</v>
      </c>
      <c r="AU74" s="3">
        <v>0.14000000000000001</v>
      </c>
      <c r="AV74" s="12">
        <f>(BD74-AZ74)/(SQRT((BB74^2+BF74^2)/2))</f>
        <v>-0.27981406771783979</v>
      </c>
      <c r="AW74" s="12" t="s">
        <v>94</v>
      </c>
      <c r="AX74" s="12">
        <v>1.7000000000000001E-2</v>
      </c>
      <c r="AY74" s="13"/>
      <c r="AZ74" s="13">
        <v>3.35</v>
      </c>
      <c r="BA74" s="13"/>
      <c r="BB74" s="13">
        <v>-1.2</v>
      </c>
      <c r="BC74" s="10">
        <v>75</v>
      </c>
      <c r="BD74" s="13">
        <v>3.01</v>
      </c>
      <c r="BE74" s="13"/>
      <c r="BF74" s="13">
        <v>-1.23</v>
      </c>
      <c r="BG74" s="10">
        <v>83</v>
      </c>
      <c r="BH74" s="13"/>
      <c r="BI74" s="10"/>
      <c r="BJ74" s="10"/>
      <c r="BK74" s="10"/>
      <c r="BL74" s="10"/>
      <c r="BM74" s="12" t="s">
        <v>94</v>
      </c>
      <c r="BN74" s="12" t="s">
        <v>94</v>
      </c>
      <c r="BO74" s="12" t="s">
        <v>94</v>
      </c>
      <c r="BP74" s="16" t="s">
        <v>94</v>
      </c>
      <c r="BQ74" s="16" t="s">
        <v>94</v>
      </c>
      <c r="BR74" s="16" t="s">
        <v>94</v>
      </c>
      <c r="BS74" s="3" t="s">
        <v>72</v>
      </c>
      <c r="BT74" s="3" t="s">
        <v>69</v>
      </c>
      <c r="BU74" s="3" t="s">
        <v>68</v>
      </c>
      <c r="BV74" s="3" t="s">
        <v>74</v>
      </c>
      <c r="BW74" s="3" t="s">
        <v>75</v>
      </c>
      <c r="BX74" s="3">
        <v>1</v>
      </c>
      <c r="BY74" s="3">
        <v>1</v>
      </c>
      <c r="BZ74" s="3">
        <v>0</v>
      </c>
      <c r="CA74" s="3">
        <v>0</v>
      </c>
      <c r="CB74" s="3">
        <v>1</v>
      </c>
      <c r="CC74" s="3">
        <v>0</v>
      </c>
      <c r="CD74" s="3">
        <v>1</v>
      </c>
      <c r="CE74" s="3">
        <v>1</v>
      </c>
      <c r="CF74" s="3">
        <v>0</v>
      </c>
      <c r="CH74">
        <v>1</v>
      </c>
      <c r="CI74">
        <v>0</v>
      </c>
      <c r="CJ74">
        <v>0</v>
      </c>
    </row>
    <row r="75" spans="1:88" x14ac:dyDescent="0.35">
      <c r="A75" s="3" t="s">
        <v>226</v>
      </c>
      <c r="B75" s="3">
        <v>1</v>
      </c>
      <c r="C75" s="3" t="s">
        <v>227</v>
      </c>
      <c r="D75" s="3">
        <v>0</v>
      </c>
      <c r="E75" s="3">
        <v>2018</v>
      </c>
      <c r="F75" s="3">
        <v>74</v>
      </c>
      <c r="G75" s="3">
        <v>2</v>
      </c>
      <c r="H75" s="3">
        <v>11</v>
      </c>
      <c r="I75" s="3">
        <v>30</v>
      </c>
      <c r="J75" s="3">
        <v>18</v>
      </c>
      <c r="K75" s="3">
        <v>16</v>
      </c>
      <c r="L75" s="3">
        <v>3</v>
      </c>
      <c r="M75" s="3" t="s">
        <v>278</v>
      </c>
      <c r="N75" s="3">
        <v>8</v>
      </c>
      <c r="O75" s="3" t="s">
        <v>228</v>
      </c>
      <c r="P75" s="3" t="s">
        <v>72</v>
      </c>
      <c r="Q75" s="3" t="s">
        <v>69</v>
      </c>
      <c r="R75" s="3" t="s">
        <v>68</v>
      </c>
      <c r="S75" s="3" t="s">
        <v>74</v>
      </c>
      <c r="T75" s="3" t="s">
        <v>75</v>
      </c>
      <c r="U75" s="3" t="s">
        <v>232</v>
      </c>
      <c r="V75" s="3" t="s">
        <v>97</v>
      </c>
      <c r="W75" s="3" t="s">
        <v>97</v>
      </c>
      <c r="X75" s="3">
        <v>1</v>
      </c>
      <c r="Y75" s="3">
        <v>0</v>
      </c>
      <c r="Z75" s="3" t="s">
        <v>84</v>
      </c>
      <c r="AA75" s="3" t="s">
        <v>85</v>
      </c>
      <c r="AB75" s="3" t="s">
        <v>94</v>
      </c>
      <c r="AC75" s="3" t="s">
        <v>86</v>
      </c>
      <c r="AD75" s="3" t="s">
        <v>87</v>
      </c>
      <c r="AE75" s="3">
        <v>0</v>
      </c>
      <c r="AF75" s="3" t="s">
        <v>230</v>
      </c>
      <c r="AG75" s="3" t="s">
        <v>162</v>
      </c>
      <c r="AH75" s="10">
        <f t="shared" ref="AH75:AH80" si="14">SUM(BJ75,BL75,BR75)</f>
        <v>158</v>
      </c>
      <c r="AI75" s="10">
        <f t="shared" ref="AI75:AI84" si="15">SUM(BJ75,BL75)</f>
        <v>158</v>
      </c>
      <c r="AJ75" s="10" t="s">
        <v>94</v>
      </c>
      <c r="AK75" s="10">
        <v>1</v>
      </c>
      <c r="AL75" s="3">
        <v>24.9</v>
      </c>
      <c r="AM75" s="3">
        <v>0.79</v>
      </c>
      <c r="AN75" s="3" t="s">
        <v>108</v>
      </c>
      <c r="AO75" s="3" t="s">
        <v>286</v>
      </c>
      <c r="AP75" s="3" t="s">
        <v>125</v>
      </c>
      <c r="AQ75" s="3">
        <v>1</v>
      </c>
      <c r="AR75" s="3">
        <v>0</v>
      </c>
      <c r="AS75" s="3" t="s">
        <v>111</v>
      </c>
      <c r="AT75" s="11">
        <v>-0.63</v>
      </c>
      <c r="AU75" s="3">
        <v>0.3</v>
      </c>
      <c r="AV75" s="17">
        <f t="shared" ref="AV75:AV84" si="16">LN((BK75/(BL75-BK75))/(BI75/(BJ75-BI75)))*(SQRT(3)/PI())</f>
        <v>0.42154946110310582</v>
      </c>
      <c r="AW75" s="12" t="s">
        <v>94</v>
      </c>
      <c r="AX75" s="3">
        <v>3.5000000000000003E-2</v>
      </c>
      <c r="AY75" s="13"/>
      <c r="AZ75" s="13"/>
      <c r="BA75" s="13"/>
      <c r="BB75" s="13"/>
      <c r="BC75" s="10"/>
      <c r="BD75" s="13"/>
      <c r="BE75" s="13"/>
      <c r="BF75" s="13"/>
      <c r="BG75" s="10"/>
      <c r="BH75" s="13"/>
      <c r="BI75" s="10">
        <f>75-60</f>
        <v>15</v>
      </c>
      <c r="BJ75" s="10">
        <v>75</v>
      </c>
      <c r="BK75" s="10">
        <f>83-54</f>
        <v>29</v>
      </c>
      <c r="BL75" s="10">
        <v>83</v>
      </c>
      <c r="BM75" s="12" t="s">
        <v>94</v>
      </c>
      <c r="BN75" s="12" t="s">
        <v>94</v>
      </c>
      <c r="BO75" s="12" t="s">
        <v>94</v>
      </c>
      <c r="BP75" s="16" t="s">
        <v>94</v>
      </c>
      <c r="BQ75" s="16" t="s">
        <v>94</v>
      </c>
      <c r="BR75" s="16" t="s">
        <v>94</v>
      </c>
      <c r="BS75" s="3" t="s">
        <v>72</v>
      </c>
      <c r="BT75" s="3" t="s">
        <v>69</v>
      </c>
      <c r="BU75" s="3" t="s">
        <v>68</v>
      </c>
      <c r="BV75" s="3" t="s">
        <v>74</v>
      </c>
      <c r="BW75" s="3" t="s">
        <v>75</v>
      </c>
      <c r="BX75" s="3">
        <v>1</v>
      </c>
      <c r="BY75" s="3">
        <v>1</v>
      </c>
      <c r="BZ75" s="3">
        <v>0</v>
      </c>
      <c r="CA75" s="3">
        <v>0</v>
      </c>
      <c r="CB75" s="3">
        <v>1</v>
      </c>
      <c r="CC75" s="3">
        <v>0</v>
      </c>
      <c r="CD75" s="3">
        <v>1</v>
      </c>
      <c r="CE75" s="3">
        <v>1</v>
      </c>
      <c r="CF75" s="3">
        <v>0</v>
      </c>
      <c r="CH75">
        <v>1</v>
      </c>
      <c r="CI75">
        <v>0</v>
      </c>
      <c r="CJ75">
        <v>0</v>
      </c>
    </row>
    <row r="76" spans="1:88" x14ac:dyDescent="0.35">
      <c r="A76" s="3" t="s">
        <v>226</v>
      </c>
      <c r="B76" s="3">
        <v>1</v>
      </c>
      <c r="C76" s="3" t="s">
        <v>227</v>
      </c>
      <c r="D76" s="3">
        <v>0</v>
      </c>
      <c r="E76" s="3">
        <v>2018</v>
      </c>
      <c r="F76" s="3">
        <v>75</v>
      </c>
      <c r="G76" s="3">
        <v>3</v>
      </c>
      <c r="H76" s="3">
        <v>12</v>
      </c>
      <c r="I76" s="3">
        <v>31</v>
      </c>
      <c r="J76" s="3">
        <v>20</v>
      </c>
      <c r="K76" s="3">
        <v>16</v>
      </c>
      <c r="L76" s="3">
        <v>3</v>
      </c>
      <c r="M76" s="3" t="s">
        <v>281</v>
      </c>
      <c r="N76" s="3">
        <v>9</v>
      </c>
      <c r="O76" s="3" t="s">
        <v>233</v>
      </c>
      <c r="P76" s="3" t="s">
        <v>72</v>
      </c>
      <c r="Q76" s="3" t="s">
        <v>69</v>
      </c>
      <c r="R76" s="3" t="s">
        <v>68</v>
      </c>
      <c r="S76" s="3" t="s">
        <v>74</v>
      </c>
      <c r="T76" s="3" t="s">
        <v>75</v>
      </c>
      <c r="U76" s="3" t="s">
        <v>213</v>
      </c>
      <c r="V76" s="3" t="s">
        <v>97</v>
      </c>
      <c r="W76" s="3" t="s">
        <v>97</v>
      </c>
      <c r="X76" s="3">
        <v>1</v>
      </c>
      <c r="Y76" s="3">
        <v>1</v>
      </c>
      <c r="Z76" s="3" t="s">
        <v>84</v>
      </c>
      <c r="AA76" s="3" t="s">
        <v>85</v>
      </c>
      <c r="AB76" s="3" t="s">
        <v>94</v>
      </c>
      <c r="AC76" s="3" t="s">
        <v>86</v>
      </c>
      <c r="AD76" s="3" t="s">
        <v>87</v>
      </c>
      <c r="AE76" s="3">
        <v>0</v>
      </c>
      <c r="AF76" s="3" t="s">
        <v>214</v>
      </c>
      <c r="AG76" s="3" t="s">
        <v>162</v>
      </c>
      <c r="AH76" s="10">
        <f t="shared" si="14"/>
        <v>179</v>
      </c>
      <c r="AI76" s="10">
        <f t="shared" si="15"/>
        <v>117</v>
      </c>
      <c r="AJ76" s="10">
        <f>SUM(BJ76,BR76)</f>
        <v>121</v>
      </c>
      <c r="AK76" s="10">
        <v>0</v>
      </c>
      <c r="AL76" s="3">
        <v>25.8</v>
      </c>
      <c r="AM76" s="3">
        <v>0.73</v>
      </c>
      <c r="AN76" s="3" t="s">
        <v>108</v>
      </c>
      <c r="AO76" s="3" t="s">
        <v>286</v>
      </c>
      <c r="AP76" s="3" t="s">
        <v>125</v>
      </c>
      <c r="AQ76" s="3">
        <v>1</v>
      </c>
      <c r="AR76" s="3">
        <v>0</v>
      </c>
      <c r="AS76" s="3" t="s">
        <v>111</v>
      </c>
      <c r="AT76" s="3">
        <v>0.85</v>
      </c>
      <c r="AU76" s="3">
        <v>0.39</v>
      </c>
      <c r="AV76" s="17">
        <f t="shared" si="16"/>
        <v>0.46888375403749627</v>
      </c>
      <c r="AW76" s="12">
        <f>LN((BI76/(BJ76-BI76))/(BQ76/(BR76-BQ76)))*(SQRT(3)/PI())</f>
        <v>0.59147205797831737</v>
      </c>
      <c r="AX76" s="12">
        <v>3.1E-2</v>
      </c>
      <c r="AY76" s="13"/>
      <c r="AZ76" s="13"/>
      <c r="BA76" s="13"/>
      <c r="BB76" s="13"/>
      <c r="BC76" s="10"/>
      <c r="BD76" s="13"/>
      <c r="BE76" s="13"/>
      <c r="BF76" s="13"/>
      <c r="BG76" s="10"/>
      <c r="BH76" s="13" t="s">
        <v>94</v>
      </c>
      <c r="BI76" s="10">
        <v>16</v>
      </c>
      <c r="BJ76" s="10">
        <v>59</v>
      </c>
      <c r="BK76" s="10">
        <v>27</v>
      </c>
      <c r="BL76" s="10">
        <v>58</v>
      </c>
      <c r="BM76" s="12" t="s">
        <v>94</v>
      </c>
      <c r="BN76" s="12"/>
      <c r="BO76" s="12"/>
      <c r="BP76" s="16"/>
      <c r="BQ76" s="16">
        <v>7</v>
      </c>
      <c r="BR76" s="16">
        <v>62</v>
      </c>
      <c r="BS76" s="3" t="s">
        <v>72</v>
      </c>
      <c r="BT76" s="3" t="s">
        <v>69</v>
      </c>
      <c r="BU76" s="3" t="s">
        <v>68</v>
      </c>
      <c r="BV76" s="3" t="s">
        <v>74</v>
      </c>
      <c r="BW76" s="3" t="s">
        <v>75</v>
      </c>
      <c r="BX76" s="3">
        <v>1</v>
      </c>
      <c r="BY76" s="3">
        <v>1</v>
      </c>
      <c r="BZ76" s="3">
        <v>0</v>
      </c>
      <c r="CA76" s="3">
        <v>0</v>
      </c>
      <c r="CB76" s="3">
        <v>1</v>
      </c>
      <c r="CC76" s="3">
        <v>0</v>
      </c>
      <c r="CD76" s="3">
        <v>1</v>
      </c>
      <c r="CE76" s="3">
        <v>1</v>
      </c>
      <c r="CF76" s="3">
        <v>0</v>
      </c>
      <c r="CH76">
        <v>1</v>
      </c>
      <c r="CI76">
        <v>0</v>
      </c>
      <c r="CJ76">
        <v>0</v>
      </c>
    </row>
    <row r="77" spans="1:88" x14ac:dyDescent="0.35">
      <c r="A77" s="3" t="s">
        <v>234</v>
      </c>
      <c r="B77" s="3">
        <v>2</v>
      </c>
      <c r="C77" s="3" t="s">
        <v>235</v>
      </c>
      <c r="D77" s="3">
        <v>0</v>
      </c>
      <c r="E77" s="3">
        <v>2019</v>
      </c>
      <c r="F77" s="3">
        <v>76</v>
      </c>
      <c r="G77" s="3">
        <v>1</v>
      </c>
      <c r="H77" s="3">
        <v>13</v>
      </c>
      <c r="I77" s="3">
        <v>32</v>
      </c>
      <c r="J77" s="3">
        <v>21</v>
      </c>
      <c r="K77" s="3">
        <v>17</v>
      </c>
      <c r="L77" s="3">
        <v>1</v>
      </c>
      <c r="M77" s="3" t="s">
        <v>280</v>
      </c>
      <c r="N77" s="3">
        <v>10</v>
      </c>
      <c r="O77" s="3" t="s">
        <v>238</v>
      </c>
      <c r="P77" s="3" t="s">
        <v>72</v>
      </c>
      <c r="Q77" s="3" t="s">
        <v>75</v>
      </c>
      <c r="R77" s="3">
        <v>0</v>
      </c>
      <c r="S77" s="3">
        <v>0</v>
      </c>
      <c r="T77" s="3">
        <v>0</v>
      </c>
      <c r="U77" s="3" t="s">
        <v>213</v>
      </c>
      <c r="V77" s="3" t="s">
        <v>97</v>
      </c>
      <c r="W77" s="3" t="s">
        <v>97</v>
      </c>
      <c r="X77" s="3">
        <v>1</v>
      </c>
      <c r="Y77" s="3">
        <v>1</v>
      </c>
      <c r="Z77" s="3" t="s">
        <v>84</v>
      </c>
      <c r="AA77" s="3" t="s">
        <v>85</v>
      </c>
      <c r="AB77" s="3" t="s">
        <v>94</v>
      </c>
      <c r="AC77" s="3" t="s">
        <v>86</v>
      </c>
      <c r="AD77" s="3" t="s">
        <v>87</v>
      </c>
      <c r="AE77" s="3">
        <v>0</v>
      </c>
      <c r="AF77" s="3" t="s">
        <v>214</v>
      </c>
      <c r="AG77" s="3" t="s">
        <v>162</v>
      </c>
      <c r="AH77" s="10">
        <f t="shared" si="14"/>
        <v>164</v>
      </c>
      <c r="AI77" s="10">
        <f t="shared" si="15"/>
        <v>110</v>
      </c>
      <c r="AJ77" s="10">
        <f>SUM(BJ77,BR77)</f>
        <v>109</v>
      </c>
      <c r="AK77" s="10">
        <v>1</v>
      </c>
      <c r="AL77" s="3">
        <v>33.5</v>
      </c>
      <c r="AM77" s="3">
        <v>0.64</v>
      </c>
      <c r="AN77" s="3" t="s">
        <v>108</v>
      </c>
      <c r="AO77" s="3" t="s">
        <v>237</v>
      </c>
      <c r="AP77" s="3" t="s">
        <v>125</v>
      </c>
      <c r="AQ77" s="3">
        <v>1</v>
      </c>
      <c r="AR77" s="3">
        <v>0</v>
      </c>
      <c r="AS77" s="3" t="s">
        <v>111</v>
      </c>
      <c r="AT77" s="13" t="s">
        <v>94</v>
      </c>
      <c r="AU77" s="13" t="s">
        <v>94</v>
      </c>
      <c r="AV77" s="17">
        <f t="shared" si="16"/>
        <v>0.9194977659659096</v>
      </c>
      <c r="AW77" s="12">
        <f>LN((BI77/(BJ77-BI77))/(BQ77/(BR77-BQ77)))*(SQRT(3)/PI())</f>
        <v>0.67063389055605549</v>
      </c>
      <c r="AX77" s="12">
        <v>1E-3</v>
      </c>
      <c r="AY77" s="13"/>
      <c r="AZ77" s="13"/>
      <c r="BA77" s="13"/>
      <c r="BB77" s="13"/>
      <c r="BC77" s="10"/>
      <c r="BD77" s="13"/>
      <c r="BE77" s="13"/>
      <c r="BF77" s="13"/>
      <c r="BG77" s="10"/>
      <c r="BH77" s="13"/>
      <c r="BI77" s="10">
        <v>27</v>
      </c>
      <c r="BJ77" s="10">
        <v>55</v>
      </c>
      <c r="BK77" s="10">
        <v>46</v>
      </c>
      <c r="BL77" s="10">
        <v>55</v>
      </c>
      <c r="BM77" s="12"/>
      <c r="BN77" s="12"/>
      <c r="BO77" s="12"/>
      <c r="BP77" s="16"/>
      <c r="BQ77" s="16">
        <v>12</v>
      </c>
      <c r="BR77" s="16">
        <v>54</v>
      </c>
      <c r="BS77" s="3" t="s">
        <v>72</v>
      </c>
      <c r="BT77" s="3" t="s">
        <v>75</v>
      </c>
      <c r="BU77" s="3">
        <v>0</v>
      </c>
      <c r="BV77" s="3">
        <v>0</v>
      </c>
      <c r="BW77" s="3">
        <v>0</v>
      </c>
      <c r="BX77" s="3">
        <v>0</v>
      </c>
      <c r="BY77" s="3">
        <v>0</v>
      </c>
      <c r="BZ77" s="3">
        <v>0</v>
      </c>
      <c r="CA77" s="3">
        <v>0</v>
      </c>
      <c r="CB77" s="3">
        <v>1</v>
      </c>
      <c r="CC77" s="3">
        <v>0</v>
      </c>
      <c r="CD77" s="3">
        <v>0</v>
      </c>
      <c r="CE77" s="3">
        <v>1</v>
      </c>
      <c r="CF77" s="3">
        <v>0</v>
      </c>
      <c r="CH77">
        <v>1</v>
      </c>
      <c r="CI77">
        <v>0</v>
      </c>
      <c r="CJ77">
        <v>0</v>
      </c>
    </row>
    <row r="78" spans="1:88" x14ac:dyDescent="0.35">
      <c r="A78" s="3" t="s">
        <v>234</v>
      </c>
      <c r="B78" s="3">
        <v>2</v>
      </c>
      <c r="C78" s="3" t="s">
        <v>235</v>
      </c>
      <c r="D78" s="3">
        <v>0</v>
      </c>
      <c r="E78" s="3">
        <v>2019</v>
      </c>
      <c r="F78" s="3">
        <v>77</v>
      </c>
      <c r="G78" s="3">
        <v>1</v>
      </c>
      <c r="H78" s="3">
        <v>13</v>
      </c>
      <c r="I78" s="3">
        <v>33</v>
      </c>
      <c r="J78" s="3">
        <v>21</v>
      </c>
      <c r="K78" s="3">
        <v>17</v>
      </c>
      <c r="L78" s="3">
        <v>1</v>
      </c>
      <c r="M78" s="3" t="s">
        <v>280</v>
      </c>
      <c r="N78" s="3">
        <v>11</v>
      </c>
      <c r="O78" s="3" t="s">
        <v>239</v>
      </c>
      <c r="P78" s="3" t="s">
        <v>72</v>
      </c>
      <c r="Q78" s="3" t="s">
        <v>74</v>
      </c>
      <c r="R78" s="3">
        <v>0</v>
      </c>
      <c r="S78" s="3">
        <v>0</v>
      </c>
      <c r="T78" s="3">
        <v>0</v>
      </c>
      <c r="U78" s="3" t="s">
        <v>213</v>
      </c>
      <c r="V78" s="3" t="s">
        <v>97</v>
      </c>
      <c r="W78" s="3" t="s">
        <v>97</v>
      </c>
      <c r="X78" s="3">
        <v>1</v>
      </c>
      <c r="Y78" s="3">
        <v>1</v>
      </c>
      <c r="Z78" s="3" t="s">
        <v>84</v>
      </c>
      <c r="AA78" s="3" t="s">
        <v>85</v>
      </c>
      <c r="AB78" s="3" t="s">
        <v>94</v>
      </c>
      <c r="AC78" s="3" t="s">
        <v>86</v>
      </c>
      <c r="AD78" s="3" t="s">
        <v>87</v>
      </c>
      <c r="AE78" s="3">
        <v>0</v>
      </c>
      <c r="AF78" s="3" t="s">
        <v>214</v>
      </c>
      <c r="AG78" s="3" t="s">
        <v>162</v>
      </c>
      <c r="AH78" s="10">
        <f t="shared" si="14"/>
        <v>157</v>
      </c>
      <c r="AI78" s="10">
        <f t="shared" si="15"/>
        <v>103</v>
      </c>
      <c r="AJ78" s="10">
        <f>SUM(BJ78,BR78)</f>
        <v>109</v>
      </c>
      <c r="AK78" s="10">
        <v>1</v>
      </c>
      <c r="AL78" s="3">
        <v>33.5</v>
      </c>
      <c r="AM78" s="3">
        <v>0.64</v>
      </c>
      <c r="AN78" s="3" t="s">
        <v>108</v>
      </c>
      <c r="AO78" s="3" t="s">
        <v>237</v>
      </c>
      <c r="AP78" s="3" t="s">
        <v>125</v>
      </c>
      <c r="AQ78" s="3">
        <v>1</v>
      </c>
      <c r="AR78" s="3">
        <v>0</v>
      </c>
      <c r="AS78" s="3" t="s">
        <v>111</v>
      </c>
      <c r="AT78" s="13" t="s">
        <v>94</v>
      </c>
      <c r="AU78" s="13" t="s">
        <v>94</v>
      </c>
      <c r="AV78" s="17">
        <f t="shared" si="16"/>
        <v>0.99461362562640809</v>
      </c>
      <c r="AW78" s="12">
        <f>LN((BI78/(BJ78-BI78))/(BQ78/(BR78-BQ78)))*(SQRT(3)/PI())</f>
        <v>0.67063389055605549</v>
      </c>
      <c r="AX78" s="12">
        <v>1E-3</v>
      </c>
      <c r="AY78" s="13"/>
      <c r="AZ78" s="13"/>
      <c r="BA78" s="13"/>
      <c r="BB78" s="13"/>
      <c r="BC78" s="10"/>
      <c r="BD78" s="13"/>
      <c r="BE78" s="13"/>
      <c r="BF78" s="13"/>
      <c r="BG78" s="10"/>
      <c r="BH78" s="13"/>
      <c r="BI78" s="10">
        <v>27</v>
      </c>
      <c r="BJ78" s="10">
        <v>55</v>
      </c>
      <c r="BK78" s="10">
        <v>41</v>
      </c>
      <c r="BL78" s="10">
        <v>48</v>
      </c>
      <c r="BM78" s="12"/>
      <c r="BN78" s="12"/>
      <c r="BO78" s="12"/>
      <c r="BP78" s="16"/>
      <c r="BQ78" s="16">
        <v>12</v>
      </c>
      <c r="BR78" s="16">
        <v>54</v>
      </c>
      <c r="BS78" s="3" t="s">
        <v>72</v>
      </c>
      <c r="BT78" s="3" t="s">
        <v>74</v>
      </c>
      <c r="BU78" s="3">
        <v>0</v>
      </c>
      <c r="BV78" s="3">
        <v>0</v>
      </c>
      <c r="BW78" s="3">
        <v>0</v>
      </c>
      <c r="BX78" s="3">
        <v>0</v>
      </c>
      <c r="BY78" s="3">
        <v>0</v>
      </c>
      <c r="BZ78" s="3">
        <v>0</v>
      </c>
      <c r="CA78" s="3">
        <v>0</v>
      </c>
      <c r="CB78" s="3">
        <v>1</v>
      </c>
      <c r="CC78" s="3">
        <v>0</v>
      </c>
      <c r="CD78" s="3">
        <v>1</v>
      </c>
      <c r="CE78" s="3">
        <v>0</v>
      </c>
      <c r="CF78" s="3">
        <v>0</v>
      </c>
      <c r="CH78">
        <v>1</v>
      </c>
      <c r="CI78">
        <v>0</v>
      </c>
      <c r="CJ78">
        <v>0</v>
      </c>
    </row>
    <row r="79" spans="1:88" x14ac:dyDescent="0.35">
      <c r="A79" s="3" t="s">
        <v>234</v>
      </c>
      <c r="B79" s="3">
        <v>2</v>
      </c>
      <c r="C79" s="3" t="s">
        <v>235</v>
      </c>
      <c r="D79" s="3">
        <v>0</v>
      </c>
      <c r="E79" s="3">
        <v>2019</v>
      </c>
      <c r="F79" s="3">
        <v>78</v>
      </c>
      <c r="G79" s="3">
        <v>1</v>
      </c>
      <c r="H79" s="3">
        <v>13</v>
      </c>
      <c r="I79" s="3">
        <v>34</v>
      </c>
      <c r="J79" s="3">
        <v>21</v>
      </c>
      <c r="K79" s="3">
        <v>17</v>
      </c>
      <c r="L79" s="3">
        <v>1</v>
      </c>
      <c r="M79" s="3" t="s">
        <v>280</v>
      </c>
      <c r="N79" s="3">
        <v>12</v>
      </c>
      <c r="O79" s="3" t="s">
        <v>236</v>
      </c>
      <c r="P79" s="3" t="s">
        <v>72</v>
      </c>
      <c r="Q79" s="3" t="s">
        <v>68</v>
      </c>
      <c r="R79" s="3">
        <v>0</v>
      </c>
      <c r="S79" s="3">
        <v>0</v>
      </c>
      <c r="T79" s="3">
        <v>0</v>
      </c>
      <c r="U79" s="3" t="s">
        <v>213</v>
      </c>
      <c r="V79" s="3" t="s">
        <v>97</v>
      </c>
      <c r="W79" s="3" t="s">
        <v>97</v>
      </c>
      <c r="X79" s="3">
        <v>1</v>
      </c>
      <c r="Y79" s="3">
        <v>1</v>
      </c>
      <c r="Z79" s="3" t="s">
        <v>84</v>
      </c>
      <c r="AA79" s="3" t="s">
        <v>85</v>
      </c>
      <c r="AB79" s="3" t="s">
        <v>94</v>
      </c>
      <c r="AC79" s="3" t="s">
        <v>86</v>
      </c>
      <c r="AD79" s="3" t="s">
        <v>87</v>
      </c>
      <c r="AE79" s="3">
        <v>0</v>
      </c>
      <c r="AF79" s="3" t="s">
        <v>214</v>
      </c>
      <c r="AG79" s="3" t="s">
        <v>162</v>
      </c>
      <c r="AH79" s="10">
        <f t="shared" si="14"/>
        <v>162</v>
      </c>
      <c r="AI79" s="10">
        <f t="shared" si="15"/>
        <v>108</v>
      </c>
      <c r="AJ79" s="10">
        <f>SUM(BJ79,BR79)</f>
        <v>109</v>
      </c>
      <c r="AK79" s="10">
        <v>1</v>
      </c>
      <c r="AL79" s="3">
        <v>33.5</v>
      </c>
      <c r="AM79" s="3">
        <v>0.64</v>
      </c>
      <c r="AN79" s="3" t="s">
        <v>108</v>
      </c>
      <c r="AO79" s="3" t="s">
        <v>237</v>
      </c>
      <c r="AP79" s="3" t="s">
        <v>125</v>
      </c>
      <c r="AQ79" s="3">
        <v>0</v>
      </c>
      <c r="AR79" s="3">
        <v>0</v>
      </c>
      <c r="AS79" s="3" t="s">
        <v>111</v>
      </c>
      <c r="AT79" s="13" t="s">
        <v>94</v>
      </c>
      <c r="AU79" s="13" t="s">
        <v>94</v>
      </c>
      <c r="AV79" s="17">
        <f t="shared" si="16"/>
        <v>0.25227768752712521</v>
      </c>
      <c r="AW79" s="12">
        <f>LN((BI79/(BJ79-BI79))/(BQ79/(BR79-BQ79)))*(SQRT(3)/PI())</f>
        <v>0.67063389055605549</v>
      </c>
      <c r="AX79" s="12">
        <v>0.23899999999999999</v>
      </c>
      <c r="AY79" s="13"/>
      <c r="AZ79" s="13"/>
      <c r="BA79" s="13"/>
      <c r="BB79" s="13"/>
      <c r="BC79" s="10"/>
      <c r="BD79" s="13"/>
      <c r="BE79" s="13"/>
      <c r="BF79" s="13"/>
      <c r="BG79" s="10"/>
      <c r="BH79" s="13"/>
      <c r="BI79" s="10">
        <v>27</v>
      </c>
      <c r="BJ79" s="10">
        <v>55</v>
      </c>
      <c r="BK79" s="10">
        <v>32</v>
      </c>
      <c r="BL79" s="10">
        <v>53</v>
      </c>
      <c r="BM79" s="12"/>
      <c r="BN79" s="12"/>
      <c r="BO79" s="12"/>
      <c r="BP79" s="16"/>
      <c r="BQ79" s="16">
        <v>12</v>
      </c>
      <c r="BR79" s="16">
        <v>54</v>
      </c>
      <c r="BS79" s="3" t="s">
        <v>72</v>
      </c>
      <c r="BT79" s="3" t="s">
        <v>68</v>
      </c>
      <c r="BU79" s="3">
        <v>0</v>
      </c>
      <c r="BV79" s="3">
        <v>0</v>
      </c>
      <c r="BW79" s="3">
        <v>0</v>
      </c>
      <c r="BX79" s="3">
        <v>1</v>
      </c>
      <c r="BY79" s="3">
        <v>0</v>
      </c>
      <c r="BZ79" s="3">
        <v>0</v>
      </c>
      <c r="CA79" s="3">
        <v>0</v>
      </c>
      <c r="CB79" s="3">
        <v>1</v>
      </c>
      <c r="CC79" s="3">
        <v>0</v>
      </c>
      <c r="CD79" s="3">
        <v>0</v>
      </c>
      <c r="CE79" s="3">
        <v>0</v>
      </c>
      <c r="CF79" s="3">
        <v>0</v>
      </c>
      <c r="CH79">
        <v>1</v>
      </c>
      <c r="CI79">
        <v>0</v>
      </c>
      <c r="CJ79">
        <v>0</v>
      </c>
    </row>
    <row r="80" spans="1:88" x14ac:dyDescent="0.35">
      <c r="A80" s="3" t="s">
        <v>240</v>
      </c>
      <c r="B80" s="3">
        <v>1</v>
      </c>
      <c r="C80" s="3" t="s">
        <v>227</v>
      </c>
      <c r="D80" s="3">
        <v>0</v>
      </c>
      <c r="E80" s="3">
        <v>2020</v>
      </c>
      <c r="F80" s="3">
        <v>79</v>
      </c>
      <c r="G80" s="3">
        <v>1</v>
      </c>
      <c r="H80" s="3">
        <v>16</v>
      </c>
      <c r="I80" s="3">
        <v>35</v>
      </c>
      <c r="J80" s="3">
        <v>29</v>
      </c>
      <c r="K80" s="3">
        <v>18</v>
      </c>
      <c r="L80" s="3">
        <v>1</v>
      </c>
      <c r="M80" s="3" t="s">
        <v>280</v>
      </c>
      <c r="N80" s="3">
        <v>16</v>
      </c>
      <c r="O80" s="3" t="s">
        <v>241</v>
      </c>
      <c r="P80" s="3" t="s">
        <v>74</v>
      </c>
      <c r="Q80" s="3">
        <v>0</v>
      </c>
      <c r="R80" s="3">
        <v>0</v>
      </c>
      <c r="S80" s="3"/>
      <c r="T80" s="3"/>
      <c r="U80" s="3" t="s">
        <v>213</v>
      </c>
      <c r="V80" s="3" t="s">
        <v>97</v>
      </c>
      <c r="W80" s="3" t="s">
        <v>97</v>
      </c>
      <c r="X80" s="3">
        <v>1</v>
      </c>
      <c r="Y80" s="3">
        <v>1</v>
      </c>
      <c r="Z80" s="3" t="s">
        <v>84</v>
      </c>
      <c r="AA80" s="3" t="s">
        <v>85</v>
      </c>
      <c r="AB80" s="3" t="s">
        <v>94</v>
      </c>
      <c r="AC80" s="3" t="s">
        <v>86</v>
      </c>
      <c r="AD80" s="3" t="s">
        <v>87</v>
      </c>
      <c r="AE80" s="3">
        <v>0</v>
      </c>
      <c r="AF80" s="3" t="s">
        <v>214</v>
      </c>
      <c r="AG80" s="3" t="s">
        <v>162</v>
      </c>
      <c r="AH80" s="10">
        <f t="shared" si="14"/>
        <v>196</v>
      </c>
      <c r="AI80" s="10">
        <f t="shared" si="15"/>
        <v>131</v>
      </c>
      <c r="AJ80" s="10">
        <f>SUM(BJ80,BR80)</f>
        <v>129</v>
      </c>
      <c r="AK80" s="10">
        <v>0</v>
      </c>
      <c r="AL80" s="3">
        <v>37.4</v>
      </c>
      <c r="AM80" s="3">
        <v>0.64</v>
      </c>
      <c r="AN80" s="3" t="s">
        <v>108</v>
      </c>
      <c r="AO80" s="3" t="s">
        <v>237</v>
      </c>
      <c r="AP80" s="3" t="s">
        <v>125</v>
      </c>
      <c r="AQ80" s="3">
        <v>1</v>
      </c>
      <c r="AR80" s="3">
        <v>0</v>
      </c>
      <c r="AS80" s="3" t="s">
        <v>111</v>
      </c>
      <c r="AT80" s="13" t="s">
        <v>94</v>
      </c>
      <c r="AU80" s="13" t="s">
        <v>94</v>
      </c>
      <c r="AV80" s="12">
        <f t="shared" si="16"/>
        <v>0.9598837547862743</v>
      </c>
      <c r="AW80" s="12">
        <f>LN((BI80/(BJ80-BI80))/(BQ80/(BR80-BQ80)))*(SQRT(3)/PI())</f>
        <v>1.195924239094041</v>
      </c>
      <c r="AX80" s="12">
        <v>1E-3</v>
      </c>
      <c r="AY80" s="13"/>
      <c r="AZ80" s="13"/>
      <c r="BA80" s="13"/>
      <c r="BB80" s="13"/>
      <c r="BC80" s="10"/>
      <c r="BD80" s="13"/>
      <c r="BE80" s="13"/>
      <c r="BF80" s="13"/>
      <c r="BG80" s="10"/>
      <c r="BH80" s="13"/>
      <c r="BI80" s="10">
        <v>41</v>
      </c>
      <c r="BJ80" s="10">
        <v>64</v>
      </c>
      <c r="BK80" s="10">
        <v>61</v>
      </c>
      <c r="BL80" s="10">
        <v>67</v>
      </c>
      <c r="BM80" s="12"/>
      <c r="BN80" s="12"/>
      <c r="BO80" s="12"/>
      <c r="BP80" s="16"/>
      <c r="BQ80" s="16">
        <v>11</v>
      </c>
      <c r="BR80" s="16">
        <v>65</v>
      </c>
      <c r="BS80" s="3" t="s">
        <v>74</v>
      </c>
      <c r="BT80" s="3">
        <v>0</v>
      </c>
      <c r="BU80" s="3">
        <v>0</v>
      </c>
      <c r="BV80" s="3">
        <v>0</v>
      </c>
      <c r="BW80" s="3">
        <v>0</v>
      </c>
      <c r="BX80" s="3">
        <v>0</v>
      </c>
      <c r="BY80" s="3">
        <v>0</v>
      </c>
      <c r="BZ80" s="3">
        <v>0</v>
      </c>
      <c r="CA80" s="3">
        <v>0</v>
      </c>
      <c r="CB80" s="3">
        <v>0</v>
      </c>
      <c r="CC80" s="3">
        <v>0</v>
      </c>
      <c r="CD80" s="3">
        <v>1</v>
      </c>
      <c r="CE80" s="3">
        <v>0</v>
      </c>
      <c r="CF80" s="3">
        <v>0</v>
      </c>
      <c r="CH80">
        <v>1</v>
      </c>
      <c r="CI80">
        <v>0</v>
      </c>
      <c r="CJ80">
        <v>0</v>
      </c>
    </row>
    <row r="81" spans="1:88" s="7" customFormat="1" x14ac:dyDescent="0.35">
      <c r="A81" s="4" t="s">
        <v>298</v>
      </c>
      <c r="B81" s="4"/>
      <c r="C81" s="4"/>
      <c r="D81" s="4">
        <v>0</v>
      </c>
      <c r="E81" s="4">
        <v>2022</v>
      </c>
      <c r="F81" s="3">
        <v>80</v>
      </c>
      <c r="G81" s="4"/>
      <c r="H81" s="4">
        <v>36</v>
      </c>
      <c r="I81" s="4">
        <v>36</v>
      </c>
      <c r="J81" s="4"/>
      <c r="K81" s="4">
        <v>19</v>
      </c>
      <c r="L81" s="4"/>
      <c r="M81" s="4" t="s">
        <v>279</v>
      </c>
      <c r="N81" s="4">
        <v>32</v>
      </c>
      <c r="O81" s="4" t="s">
        <v>299</v>
      </c>
      <c r="P81" s="4"/>
      <c r="Q81" s="4"/>
      <c r="R81" s="4"/>
      <c r="S81" s="4"/>
      <c r="T81" s="4"/>
      <c r="U81" s="4" t="s">
        <v>213</v>
      </c>
      <c r="V81" s="4" t="s">
        <v>97</v>
      </c>
      <c r="W81" s="4" t="s">
        <v>97</v>
      </c>
      <c r="X81" s="4">
        <v>1</v>
      </c>
      <c r="Y81" s="4"/>
      <c r="Z81" s="4" t="s">
        <v>84</v>
      </c>
      <c r="AA81" s="4" t="s">
        <v>85</v>
      </c>
      <c r="AB81" s="4">
        <v>0</v>
      </c>
      <c r="AC81" s="4" t="s">
        <v>86</v>
      </c>
      <c r="AD81" s="4" t="s">
        <v>87</v>
      </c>
      <c r="AE81" s="4"/>
      <c r="AF81" s="4" t="s">
        <v>249</v>
      </c>
      <c r="AG81" s="4" t="s">
        <v>162</v>
      </c>
      <c r="AH81" s="4">
        <v>198</v>
      </c>
      <c r="AI81" s="10">
        <f t="shared" si="15"/>
        <v>128</v>
      </c>
      <c r="AJ81" s="4" t="s">
        <v>94</v>
      </c>
      <c r="AK81" s="4">
        <v>0</v>
      </c>
      <c r="AL81" s="4">
        <v>31.57</v>
      </c>
      <c r="AM81" s="4">
        <v>0.64</v>
      </c>
      <c r="AN81" s="4" t="s">
        <v>108</v>
      </c>
      <c r="AO81" s="4" t="s">
        <v>237</v>
      </c>
      <c r="AP81" s="4" t="s">
        <v>125</v>
      </c>
      <c r="AQ81" s="4"/>
      <c r="AR81" s="4"/>
      <c r="AS81" s="4" t="s">
        <v>111</v>
      </c>
      <c r="AT81" s="4"/>
      <c r="AU81" s="4"/>
      <c r="AV81" s="12">
        <f t="shared" si="16"/>
        <v>-8.9631607421477674E-2</v>
      </c>
      <c r="AW81" s="4"/>
      <c r="AX81" s="4"/>
      <c r="AY81" s="4"/>
      <c r="AZ81" s="4"/>
      <c r="BA81" s="4"/>
      <c r="BB81" s="4"/>
      <c r="BC81" s="4"/>
      <c r="BD81" s="4"/>
      <c r="BE81" s="4"/>
      <c r="BF81" s="4"/>
      <c r="BG81" s="4"/>
      <c r="BH81" s="4"/>
      <c r="BI81" s="4">
        <v>37</v>
      </c>
      <c r="BJ81" s="4">
        <v>61</v>
      </c>
      <c r="BK81" s="4">
        <v>38</v>
      </c>
      <c r="BL81" s="4">
        <v>67</v>
      </c>
      <c r="BM81" s="1"/>
      <c r="BN81" s="1"/>
      <c r="BO81" s="1"/>
      <c r="BP81" s="1"/>
      <c r="BQ81" s="1" t="s">
        <v>94</v>
      </c>
      <c r="BR81" s="1" t="s">
        <v>94</v>
      </c>
      <c r="BS81" s="4"/>
      <c r="BT81" s="4"/>
      <c r="BU81" s="4"/>
      <c r="BV81" s="4"/>
      <c r="BW81" s="4"/>
      <c r="BX81" s="4"/>
      <c r="BY81" s="4"/>
      <c r="BZ81" s="4"/>
      <c r="CA81" s="4"/>
      <c r="CB81" s="4"/>
      <c r="CC81" s="4"/>
      <c r="CD81" s="4"/>
      <c r="CE81" s="4"/>
      <c r="CF81" s="4"/>
    </row>
    <row r="82" spans="1:88" s="7" customFormat="1" x14ac:dyDescent="0.35">
      <c r="A82" s="4" t="s">
        <v>298</v>
      </c>
      <c r="B82" s="4"/>
      <c r="C82" s="4"/>
      <c r="D82" s="4">
        <v>0</v>
      </c>
      <c r="E82" s="4">
        <v>2022</v>
      </c>
      <c r="F82" s="3">
        <v>81</v>
      </c>
      <c r="G82" s="4"/>
      <c r="H82" s="4">
        <v>36</v>
      </c>
      <c r="I82" s="4">
        <v>37</v>
      </c>
      <c r="J82" s="4"/>
      <c r="K82" s="4">
        <v>19</v>
      </c>
      <c r="L82" s="4"/>
      <c r="M82" s="4" t="s">
        <v>279</v>
      </c>
      <c r="N82" s="4">
        <v>33</v>
      </c>
      <c r="O82" s="4" t="s">
        <v>300</v>
      </c>
      <c r="P82" s="4"/>
      <c r="Q82" s="4"/>
      <c r="R82" s="4"/>
      <c r="S82" s="4"/>
      <c r="T82" s="4"/>
      <c r="U82" s="4" t="s">
        <v>213</v>
      </c>
      <c r="V82" s="4" t="s">
        <v>97</v>
      </c>
      <c r="W82" s="4" t="s">
        <v>97</v>
      </c>
      <c r="X82" s="4">
        <v>1</v>
      </c>
      <c r="Y82" s="4"/>
      <c r="Z82" s="4" t="s">
        <v>84</v>
      </c>
      <c r="AA82" s="4" t="s">
        <v>85</v>
      </c>
      <c r="AB82" s="4">
        <v>0</v>
      </c>
      <c r="AC82" s="4" t="s">
        <v>86</v>
      </c>
      <c r="AD82" s="4" t="s">
        <v>87</v>
      </c>
      <c r="AE82" s="4"/>
      <c r="AF82" s="4" t="s">
        <v>249</v>
      </c>
      <c r="AG82" s="4" t="s">
        <v>162</v>
      </c>
      <c r="AH82" s="4">
        <v>198</v>
      </c>
      <c r="AI82" s="10">
        <f t="shared" si="15"/>
        <v>131</v>
      </c>
      <c r="AJ82" s="4" t="s">
        <v>94</v>
      </c>
      <c r="AK82" s="4">
        <v>0</v>
      </c>
      <c r="AL82" s="4">
        <v>31.57</v>
      </c>
      <c r="AM82" s="4">
        <v>0.64</v>
      </c>
      <c r="AN82" s="4" t="s">
        <v>108</v>
      </c>
      <c r="AO82" s="4" t="s">
        <v>237</v>
      </c>
      <c r="AP82" s="4" t="s">
        <v>125</v>
      </c>
      <c r="AQ82" s="4"/>
      <c r="AR82" s="4"/>
      <c r="AS82" s="4" t="s">
        <v>111</v>
      </c>
      <c r="AT82" s="4"/>
      <c r="AU82" s="4"/>
      <c r="AV82" s="12">
        <f t="shared" si="16"/>
        <v>1.306923105914239</v>
      </c>
      <c r="AW82" s="4"/>
      <c r="AX82" s="4"/>
      <c r="AY82" s="4"/>
      <c r="AZ82" s="4"/>
      <c r="BA82" s="4"/>
      <c r="BB82" s="4"/>
      <c r="BC82" s="4"/>
      <c r="BD82" s="4"/>
      <c r="BE82" s="4"/>
      <c r="BF82" s="4"/>
      <c r="BG82" s="4"/>
      <c r="BH82" s="4"/>
      <c r="BI82" s="4">
        <v>37</v>
      </c>
      <c r="BJ82" s="4">
        <v>61</v>
      </c>
      <c r="BK82" s="4">
        <v>66</v>
      </c>
      <c r="BL82" s="4">
        <v>70</v>
      </c>
      <c r="BM82" s="1"/>
      <c r="BN82" s="1"/>
      <c r="BO82" s="1"/>
      <c r="BP82" s="1"/>
      <c r="BQ82" s="1" t="s">
        <v>94</v>
      </c>
      <c r="BR82" s="1" t="s">
        <v>94</v>
      </c>
      <c r="BS82" s="4"/>
      <c r="BT82" s="4"/>
      <c r="BU82" s="4"/>
      <c r="BV82" s="4"/>
      <c r="BW82" s="4"/>
      <c r="BX82" s="4"/>
      <c r="BY82" s="4"/>
      <c r="BZ82" s="4"/>
      <c r="CA82" s="4"/>
      <c r="CB82" s="4"/>
      <c r="CC82" s="4"/>
      <c r="CD82" s="4"/>
      <c r="CE82" s="4"/>
      <c r="CF82" s="4"/>
    </row>
    <row r="83" spans="1:88" s="7" customFormat="1" x14ac:dyDescent="0.35">
      <c r="A83" s="4" t="s">
        <v>298</v>
      </c>
      <c r="B83" s="4"/>
      <c r="C83" s="4"/>
      <c r="D83" s="4">
        <v>0</v>
      </c>
      <c r="E83" s="4">
        <v>2022</v>
      </c>
      <c r="F83" s="3">
        <v>82</v>
      </c>
      <c r="G83" s="4"/>
      <c r="H83" s="4">
        <v>37</v>
      </c>
      <c r="I83" s="4">
        <v>38</v>
      </c>
      <c r="J83" s="4"/>
      <c r="K83" s="4">
        <v>19</v>
      </c>
      <c r="L83" s="4"/>
      <c r="M83" s="4" t="s">
        <v>278</v>
      </c>
      <c r="N83" s="4">
        <v>34</v>
      </c>
      <c r="O83" s="4" t="s">
        <v>301</v>
      </c>
      <c r="P83" s="4"/>
      <c r="Q83" s="4"/>
      <c r="R83" s="4"/>
      <c r="S83" s="4"/>
      <c r="T83" s="4"/>
      <c r="U83" s="4" t="s">
        <v>213</v>
      </c>
      <c r="V83" s="4" t="s">
        <v>97</v>
      </c>
      <c r="W83" s="4" t="s">
        <v>97</v>
      </c>
      <c r="X83" s="4">
        <v>1</v>
      </c>
      <c r="Y83" s="4"/>
      <c r="Z83" s="4" t="s">
        <v>84</v>
      </c>
      <c r="AA83" s="4" t="s">
        <v>85</v>
      </c>
      <c r="AB83" s="4">
        <v>0</v>
      </c>
      <c r="AC83" s="4" t="s">
        <v>86</v>
      </c>
      <c r="AD83" s="4" t="s">
        <v>87</v>
      </c>
      <c r="AE83" s="4"/>
      <c r="AF83" s="4" t="s">
        <v>249</v>
      </c>
      <c r="AG83" s="4" t="s">
        <v>162</v>
      </c>
      <c r="AH83" s="4">
        <v>163</v>
      </c>
      <c r="AI83" s="10">
        <f t="shared" si="15"/>
        <v>113</v>
      </c>
      <c r="AJ83" s="4" t="s">
        <v>94</v>
      </c>
      <c r="AK83" s="4">
        <v>0</v>
      </c>
      <c r="AL83" s="4">
        <v>33.19</v>
      </c>
      <c r="AM83" s="4">
        <v>0.46</v>
      </c>
      <c r="AN83" s="4" t="s">
        <v>108</v>
      </c>
      <c r="AO83" s="4" t="s">
        <v>237</v>
      </c>
      <c r="AP83" s="4" t="s">
        <v>125</v>
      </c>
      <c r="AQ83" s="4"/>
      <c r="AR83" s="4"/>
      <c r="AS83" s="4" t="s">
        <v>111</v>
      </c>
      <c r="AT83" s="4"/>
      <c r="AU83" s="4"/>
      <c r="AV83" s="12">
        <f t="shared" si="16"/>
        <v>0.17914122809351365</v>
      </c>
      <c r="AW83" s="4"/>
      <c r="AX83" s="4"/>
      <c r="AY83" s="4"/>
      <c r="AZ83" s="4"/>
      <c r="BA83" s="4"/>
      <c r="BB83" s="4"/>
      <c r="BC83" s="4"/>
      <c r="BD83" s="4"/>
      <c r="BE83" s="4"/>
      <c r="BF83" s="4"/>
      <c r="BG83" s="4"/>
      <c r="BH83" s="4"/>
      <c r="BI83" s="4">
        <v>24</v>
      </c>
      <c r="BJ83" s="4">
        <v>54</v>
      </c>
      <c r="BK83" s="4">
        <v>31</v>
      </c>
      <c r="BL83" s="4">
        <v>59</v>
      </c>
      <c r="BM83" s="1"/>
      <c r="BN83" s="1"/>
      <c r="BO83" s="1"/>
      <c r="BP83" s="1"/>
      <c r="BQ83" s="1" t="s">
        <v>94</v>
      </c>
      <c r="BR83" s="1" t="s">
        <v>94</v>
      </c>
      <c r="BS83" s="4"/>
      <c r="BT83" s="4"/>
      <c r="BU83" s="4"/>
      <c r="BV83" s="4"/>
      <c r="BW83" s="4"/>
      <c r="BX83" s="4"/>
      <c r="BY83" s="4"/>
      <c r="BZ83" s="4"/>
      <c r="CA83" s="4"/>
      <c r="CB83" s="4"/>
      <c r="CC83" s="4"/>
      <c r="CD83" s="4"/>
      <c r="CE83" s="4"/>
      <c r="CF83" s="4"/>
    </row>
    <row r="84" spans="1:88" s="7" customFormat="1" x14ac:dyDescent="0.35">
      <c r="A84" s="4" t="s">
        <v>298</v>
      </c>
      <c r="B84" s="4"/>
      <c r="C84" s="4"/>
      <c r="D84" s="4">
        <v>0</v>
      </c>
      <c r="E84" s="4">
        <v>2022</v>
      </c>
      <c r="F84" s="3">
        <v>83</v>
      </c>
      <c r="G84" s="4"/>
      <c r="H84" s="4">
        <v>37</v>
      </c>
      <c r="I84" s="4">
        <v>39</v>
      </c>
      <c r="J84" s="4"/>
      <c r="K84" s="4">
        <v>19</v>
      </c>
      <c r="L84" s="4"/>
      <c r="M84" s="4" t="s">
        <v>278</v>
      </c>
      <c r="N84" s="4">
        <v>35</v>
      </c>
      <c r="O84" s="4" t="s">
        <v>302</v>
      </c>
      <c r="P84" s="4"/>
      <c r="Q84" s="4"/>
      <c r="R84" s="4"/>
      <c r="S84" s="4"/>
      <c r="T84" s="4"/>
      <c r="U84" s="4" t="s">
        <v>213</v>
      </c>
      <c r="V84" s="4" t="s">
        <v>97</v>
      </c>
      <c r="W84" s="4" t="s">
        <v>97</v>
      </c>
      <c r="X84" s="4">
        <v>1</v>
      </c>
      <c r="Y84" s="4"/>
      <c r="Z84" s="4" t="s">
        <v>84</v>
      </c>
      <c r="AA84" s="4" t="s">
        <v>85</v>
      </c>
      <c r="AB84" s="4">
        <v>0</v>
      </c>
      <c r="AC84" s="4" t="s">
        <v>86</v>
      </c>
      <c r="AD84" s="4" t="s">
        <v>87</v>
      </c>
      <c r="AE84" s="4"/>
      <c r="AF84" s="4" t="s">
        <v>249</v>
      </c>
      <c r="AG84" s="4" t="s">
        <v>162</v>
      </c>
      <c r="AH84" s="4">
        <v>163</v>
      </c>
      <c r="AI84" s="10">
        <f t="shared" si="15"/>
        <v>110</v>
      </c>
      <c r="AJ84" s="4" t="s">
        <v>94</v>
      </c>
      <c r="AK84" s="4">
        <v>0</v>
      </c>
      <c r="AL84" s="4">
        <v>33.19</v>
      </c>
      <c r="AM84" s="4">
        <v>0.46</v>
      </c>
      <c r="AN84" s="4" t="s">
        <v>108</v>
      </c>
      <c r="AO84" s="4" t="s">
        <v>237</v>
      </c>
      <c r="AP84" s="4" t="s">
        <v>125</v>
      </c>
      <c r="AQ84" s="4"/>
      <c r="AR84" s="4"/>
      <c r="AS84" s="4" t="s">
        <v>111</v>
      </c>
      <c r="AT84" s="4"/>
      <c r="AU84" s="4"/>
      <c r="AV84" s="12">
        <f t="shared" si="16"/>
        <v>0.62820304475596267</v>
      </c>
      <c r="AW84" s="4"/>
      <c r="AX84" s="4"/>
      <c r="AY84" s="4"/>
      <c r="AZ84" s="4"/>
      <c r="BA84" s="4"/>
      <c r="BB84" s="4"/>
      <c r="BC84" s="4"/>
      <c r="BD84" s="4"/>
      <c r="BE84" s="4"/>
      <c r="BF84" s="4"/>
      <c r="BG84" s="4"/>
      <c r="BH84" s="4"/>
      <c r="BI84" s="4">
        <v>24</v>
      </c>
      <c r="BJ84" s="4">
        <v>54</v>
      </c>
      <c r="BK84" s="4">
        <v>40</v>
      </c>
      <c r="BL84" s="4">
        <v>56</v>
      </c>
      <c r="BM84" s="1"/>
      <c r="BN84" s="1"/>
      <c r="BO84" s="1"/>
      <c r="BP84" s="1"/>
      <c r="BQ84" s="1" t="s">
        <v>94</v>
      </c>
      <c r="BR84" s="1" t="s">
        <v>94</v>
      </c>
      <c r="BS84" s="4"/>
      <c r="BT84" s="4"/>
      <c r="BU84" s="4"/>
      <c r="BV84" s="4"/>
      <c r="BW84" s="4"/>
      <c r="BX84" s="4"/>
      <c r="BY84" s="4"/>
      <c r="BZ84" s="4"/>
      <c r="CA84" s="4"/>
      <c r="CB84" s="4"/>
      <c r="CC84" s="4"/>
      <c r="CD84" s="4"/>
      <c r="CE84" s="4"/>
      <c r="CF84" s="4"/>
    </row>
    <row r="85" spans="1:88" x14ac:dyDescent="0.35">
      <c r="A85" s="3" t="s">
        <v>242</v>
      </c>
      <c r="B85" s="3">
        <v>1</v>
      </c>
      <c r="C85" s="3" t="s">
        <v>227</v>
      </c>
      <c r="D85" s="3">
        <v>0</v>
      </c>
      <c r="E85" s="3">
        <v>2016</v>
      </c>
      <c r="F85" s="3">
        <v>84</v>
      </c>
      <c r="G85" s="3">
        <v>2</v>
      </c>
      <c r="H85" s="3">
        <v>4</v>
      </c>
      <c r="I85" s="3">
        <v>40</v>
      </c>
      <c r="J85" s="3">
        <v>4</v>
      </c>
      <c r="K85" s="3">
        <v>20</v>
      </c>
      <c r="L85" s="3">
        <v>5</v>
      </c>
      <c r="M85" s="3" t="s">
        <v>274</v>
      </c>
      <c r="N85" s="3">
        <v>3</v>
      </c>
      <c r="O85" s="3" t="s">
        <v>243</v>
      </c>
      <c r="P85" s="3" t="s">
        <v>72</v>
      </c>
      <c r="Q85" s="3" t="s">
        <v>68</v>
      </c>
      <c r="R85" s="3" t="s">
        <v>69</v>
      </c>
      <c r="S85" s="3" t="s">
        <v>74</v>
      </c>
      <c r="T85" s="3">
        <v>0</v>
      </c>
      <c r="U85" s="3" t="s">
        <v>213</v>
      </c>
      <c r="V85" s="3" t="s">
        <v>97</v>
      </c>
      <c r="W85" s="3" t="s">
        <v>97</v>
      </c>
      <c r="X85" s="3">
        <v>1</v>
      </c>
      <c r="Y85" s="3">
        <v>1</v>
      </c>
      <c r="Z85" s="3" t="s">
        <v>84</v>
      </c>
      <c r="AA85" s="3" t="s">
        <v>127</v>
      </c>
      <c r="AB85" s="3">
        <v>1</v>
      </c>
      <c r="AC85" s="3" t="s">
        <v>86</v>
      </c>
      <c r="AD85" s="3" t="s">
        <v>87</v>
      </c>
      <c r="AE85" s="3">
        <v>0</v>
      </c>
      <c r="AF85" s="3" t="s">
        <v>214</v>
      </c>
      <c r="AG85" s="3" t="s">
        <v>162</v>
      </c>
      <c r="AH85" s="10">
        <f>SUM(BC85,BG85,BP85)</f>
        <v>222</v>
      </c>
      <c r="AI85" s="10">
        <f>SUM(BC85,BG85)</f>
        <v>222</v>
      </c>
      <c r="AJ85" s="10" t="s">
        <v>94</v>
      </c>
      <c r="AK85" s="10">
        <v>0</v>
      </c>
      <c r="AL85" s="3" t="s">
        <v>94</v>
      </c>
      <c r="AM85" s="3" t="s">
        <v>94</v>
      </c>
      <c r="AN85" s="3" t="s">
        <v>108</v>
      </c>
      <c r="AO85" s="3" t="s">
        <v>186</v>
      </c>
      <c r="AP85" s="3" t="s">
        <v>125</v>
      </c>
      <c r="AQ85" s="3">
        <v>0</v>
      </c>
      <c r="AR85" s="3">
        <v>0</v>
      </c>
      <c r="AS85" s="3" t="s">
        <v>92</v>
      </c>
      <c r="AT85" s="13" t="s">
        <v>94</v>
      </c>
      <c r="AU85" s="13" t="s">
        <v>94</v>
      </c>
      <c r="AV85" s="12">
        <f>(BD85-AZ85)/(SQRT((BB85^2+BF85^2)/2))</f>
        <v>-0.16413348968682945</v>
      </c>
      <c r="AW85" s="12" t="s">
        <v>94</v>
      </c>
      <c r="AX85" s="12">
        <v>0.21940000000000001</v>
      </c>
      <c r="AY85" s="13"/>
      <c r="AZ85" s="3">
        <v>7.35</v>
      </c>
      <c r="BA85" s="3">
        <v>0.35</v>
      </c>
      <c r="BB85" s="3">
        <v>3.64</v>
      </c>
      <c r="BC85" s="10">
        <v>108</v>
      </c>
      <c r="BD85" s="3">
        <v>6.73</v>
      </c>
      <c r="BE85" s="3">
        <v>0.37</v>
      </c>
      <c r="BF85" s="3">
        <v>3.91</v>
      </c>
      <c r="BG85" s="10">
        <v>114</v>
      </c>
      <c r="BH85" s="13"/>
      <c r="BI85" s="10"/>
      <c r="BJ85" s="10"/>
      <c r="BK85" s="10"/>
      <c r="BL85" s="10"/>
      <c r="BM85" s="12" t="s">
        <v>94</v>
      </c>
      <c r="BN85" s="12" t="s">
        <v>94</v>
      </c>
      <c r="BO85" s="12" t="s">
        <v>94</v>
      </c>
      <c r="BP85" s="16" t="s">
        <v>94</v>
      </c>
      <c r="BQ85" s="16" t="s">
        <v>94</v>
      </c>
      <c r="BR85" s="16" t="s">
        <v>94</v>
      </c>
      <c r="BS85" s="3" t="s">
        <v>72</v>
      </c>
      <c r="BT85" s="3" t="s">
        <v>68</v>
      </c>
      <c r="BU85" s="3" t="s">
        <v>69</v>
      </c>
      <c r="BV85" s="3" t="s">
        <v>74</v>
      </c>
      <c r="BW85" s="3">
        <v>0</v>
      </c>
      <c r="BX85" s="3">
        <v>1</v>
      </c>
      <c r="BY85" s="3">
        <v>1</v>
      </c>
      <c r="BZ85" s="3">
        <v>0</v>
      </c>
      <c r="CA85" s="3">
        <v>0</v>
      </c>
      <c r="CB85" s="3">
        <v>1</v>
      </c>
      <c r="CC85" s="3">
        <v>0</v>
      </c>
      <c r="CD85" s="3">
        <v>1</v>
      </c>
      <c r="CE85" s="3">
        <v>0</v>
      </c>
      <c r="CF85" s="3">
        <v>0</v>
      </c>
      <c r="CH85" s="3">
        <v>1</v>
      </c>
      <c r="CI85">
        <v>0</v>
      </c>
      <c r="CJ85" s="5">
        <v>0</v>
      </c>
    </row>
    <row r="86" spans="1:88" x14ac:dyDescent="0.35">
      <c r="A86" s="3" t="s">
        <v>242</v>
      </c>
      <c r="B86" s="3">
        <v>1</v>
      </c>
      <c r="C86" s="3" t="s">
        <v>227</v>
      </c>
      <c r="D86" s="3">
        <v>0</v>
      </c>
      <c r="E86" s="3">
        <v>2016</v>
      </c>
      <c r="F86" s="3">
        <v>85</v>
      </c>
      <c r="G86" s="3">
        <v>2</v>
      </c>
      <c r="H86" s="3">
        <v>4</v>
      </c>
      <c r="I86" s="3">
        <v>41</v>
      </c>
      <c r="J86" s="3">
        <v>4</v>
      </c>
      <c r="K86" s="3">
        <v>20</v>
      </c>
      <c r="L86" s="3">
        <v>5</v>
      </c>
      <c r="M86" s="3" t="s">
        <v>274</v>
      </c>
      <c r="N86" s="3">
        <v>3</v>
      </c>
      <c r="O86" s="3" t="s">
        <v>243</v>
      </c>
      <c r="P86" s="3" t="s">
        <v>72</v>
      </c>
      <c r="Q86" s="3" t="s">
        <v>68</v>
      </c>
      <c r="R86" s="3" t="s">
        <v>69</v>
      </c>
      <c r="S86" s="3" t="s">
        <v>74</v>
      </c>
      <c r="T86" s="3">
        <v>0</v>
      </c>
      <c r="U86" s="3" t="s">
        <v>213</v>
      </c>
      <c r="V86" s="3" t="s">
        <v>97</v>
      </c>
      <c r="W86" s="3" t="s">
        <v>97</v>
      </c>
      <c r="X86" s="3">
        <v>1</v>
      </c>
      <c r="Y86" s="3">
        <v>1</v>
      </c>
      <c r="Z86" s="3" t="s">
        <v>84</v>
      </c>
      <c r="AA86" s="3" t="s">
        <v>85</v>
      </c>
      <c r="AB86" s="3">
        <v>0</v>
      </c>
      <c r="AC86" s="3" t="s">
        <v>86</v>
      </c>
      <c r="AD86" s="3" t="s">
        <v>87</v>
      </c>
      <c r="AE86" s="3">
        <v>0</v>
      </c>
      <c r="AF86" s="3" t="s">
        <v>214</v>
      </c>
      <c r="AG86" s="3" t="s">
        <v>162</v>
      </c>
      <c r="AH86" s="10">
        <f>SUM(BC86,BG86,BP86)</f>
        <v>200</v>
      </c>
      <c r="AI86" s="10">
        <f>SUM(BC86,BG86)</f>
        <v>200</v>
      </c>
      <c r="AJ86" s="10" t="s">
        <v>94</v>
      </c>
      <c r="AK86" s="10">
        <v>0</v>
      </c>
      <c r="AL86" s="3" t="s">
        <v>94</v>
      </c>
      <c r="AM86" s="3" t="s">
        <v>94</v>
      </c>
      <c r="AN86" s="3" t="s">
        <v>108</v>
      </c>
      <c r="AO86" s="3" t="s">
        <v>186</v>
      </c>
      <c r="AP86" s="3" t="s">
        <v>125</v>
      </c>
      <c r="AQ86" s="3">
        <v>0</v>
      </c>
      <c r="AR86" s="3">
        <v>0</v>
      </c>
      <c r="AS86" s="3" t="s">
        <v>92</v>
      </c>
      <c r="AT86" s="13" t="s">
        <v>94</v>
      </c>
      <c r="AU86" s="13" t="s">
        <v>94</v>
      </c>
      <c r="AV86" s="12">
        <f>(BD86-AZ86)/(SQRT((BB86^2+BF86^2)/2))</f>
        <v>-4.0935672514620047E-2</v>
      </c>
      <c r="AW86" s="12" t="s">
        <v>94</v>
      </c>
      <c r="AX86" s="12">
        <v>0.7802</v>
      </c>
      <c r="AY86" s="13"/>
      <c r="AZ86" s="3">
        <v>9.59</v>
      </c>
      <c r="BA86" s="3">
        <v>0.17</v>
      </c>
      <c r="BB86" s="3">
        <v>1.71</v>
      </c>
      <c r="BC86" s="10">
        <v>100</v>
      </c>
      <c r="BD86" s="3">
        <v>9.52</v>
      </c>
      <c r="BE86" s="3">
        <v>0.17</v>
      </c>
      <c r="BF86" s="3">
        <v>1.71</v>
      </c>
      <c r="BG86" s="10">
        <v>100</v>
      </c>
      <c r="BH86" s="13"/>
      <c r="BI86" s="10"/>
      <c r="BJ86" s="10"/>
      <c r="BK86" s="10"/>
      <c r="BL86" s="10"/>
      <c r="BM86" s="12" t="s">
        <v>94</v>
      </c>
      <c r="BN86" s="12" t="s">
        <v>94</v>
      </c>
      <c r="BO86" s="12" t="s">
        <v>94</v>
      </c>
      <c r="BP86" s="16" t="s">
        <v>94</v>
      </c>
      <c r="BQ86" s="16" t="s">
        <v>94</v>
      </c>
      <c r="BR86" s="16" t="s">
        <v>94</v>
      </c>
      <c r="BS86" s="3" t="s">
        <v>72</v>
      </c>
      <c r="BT86" s="3" t="s">
        <v>68</v>
      </c>
      <c r="BU86" s="3" t="s">
        <v>69</v>
      </c>
      <c r="BV86" s="3" t="s">
        <v>74</v>
      </c>
      <c r="BW86" s="3">
        <v>0</v>
      </c>
      <c r="BX86" s="3">
        <v>1</v>
      </c>
      <c r="BY86" s="3">
        <v>1</v>
      </c>
      <c r="BZ86" s="3">
        <v>0</v>
      </c>
      <c r="CA86" s="3">
        <v>0</v>
      </c>
      <c r="CB86" s="3">
        <v>1</v>
      </c>
      <c r="CC86" s="3">
        <v>0</v>
      </c>
      <c r="CD86" s="3">
        <v>1</v>
      </c>
      <c r="CE86" s="3">
        <v>0</v>
      </c>
      <c r="CF86" s="3">
        <v>0</v>
      </c>
      <c r="CH86" s="3">
        <v>1</v>
      </c>
      <c r="CI86">
        <v>0</v>
      </c>
      <c r="CJ86" s="5">
        <v>0</v>
      </c>
    </row>
    <row r="87" spans="1:88" x14ac:dyDescent="0.35">
      <c r="A87" s="3" t="s">
        <v>242</v>
      </c>
      <c r="B87" s="3">
        <v>1</v>
      </c>
      <c r="C87" s="3" t="s">
        <v>227</v>
      </c>
      <c r="D87" s="3">
        <v>0</v>
      </c>
      <c r="E87" s="3">
        <v>2016</v>
      </c>
      <c r="F87" s="3">
        <v>86</v>
      </c>
      <c r="G87" s="3">
        <v>3</v>
      </c>
      <c r="H87" s="3">
        <v>5</v>
      </c>
      <c r="I87" s="3">
        <v>42</v>
      </c>
      <c r="J87" s="3">
        <v>5</v>
      </c>
      <c r="K87" s="3">
        <v>20</v>
      </c>
      <c r="L87" s="3">
        <v>5</v>
      </c>
      <c r="M87" s="3" t="s">
        <v>275</v>
      </c>
      <c r="N87" s="3">
        <v>3</v>
      </c>
      <c r="O87" s="3" t="s">
        <v>243</v>
      </c>
      <c r="P87" s="3" t="s">
        <v>72</v>
      </c>
      <c r="Q87" s="3" t="s">
        <v>68</v>
      </c>
      <c r="R87" s="3" t="s">
        <v>69</v>
      </c>
      <c r="S87" s="3" t="s">
        <v>74</v>
      </c>
      <c r="T87" s="3">
        <v>0</v>
      </c>
      <c r="U87" s="3" t="s">
        <v>288</v>
      </c>
      <c r="V87" s="3" t="s">
        <v>97</v>
      </c>
      <c r="W87" s="3" t="s">
        <v>97</v>
      </c>
      <c r="X87" s="3">
        <v>1</v>
      </c>
      <c r="Y87" s="3">
        <v>1</v>
      </c>
      <c r="Z87" s="3" t="s">
        <v>84</v>
      </c>
      <c r="AA87" s="3" t="s">
        <v>127</v>
      </c>
      <c r="AB87" s="3">
        <v>1</v>
      </c>
      <c r="AC87" s="3" t="s">
        <v>86</v>
      </c>
      <c r="AD87" s="3" t="s">
        <v>87</v>
      </c>
      <c r="AE87" s="3">
        <v>0</v>
      </c>
      <c r="AF87" s="3" t="s">
        <v>121</v>
      </c>
      <c r="AG87" s="3" t="s">
        <v>121</v>
      </c>
      <c r="AH87" s="10">
        <f>SUM(BJ87,BL87,BR87)</f>
        <v>104</v>
      </c>
      <c r="AI87" s="10">
        <f>SUM(BJ87,BL87)</f>
        <v>104</v>
      </c>
      <c r="AJ87" s="10">
        <f>SUM(BJ87,BR87)</f>
        <v>54</v>
      </c>
      <c r="AK87" s="10">
        <v>0</v>
      </c>
      <c r="AL87" s="3" t="s">
        <v>94</v>
      </c>
      <c r="AM87" s="3" t="s">
        <v>94</v>
      </c>
      <c r="AN87" s="3" t="s">
        <v>108</v>
      </c>
      <c r="AO87" s="3" t="s">
        <v>179</v>
      </c>
      <c r="AP87" s="3" t="s">
        <v>125</v>
      </c>
      <c r="AQ87" s="3">
        <v>0</v>
      </c>
      <c r="AR87" s="3">
        <v>0</v>
      </c>
      <c r="AS87" s="3" t="s">
        <v>111</v>
      </c>
      <c r="AT87" s="13" t="s">
        <v>94</v>
      </c>
      <c r="AU87" s="13" t="s">
        <v>94</v>
      </c>
      <c r="AV87" s="17">
        <f>LN((BK87/(BL87-BK87))/(BI87/(BJ87-BI87)))*(SQRT(3)/PI())</f>
        <v>-0.62867206128396869</v>
      </c>
      <c r="AW87" s="12" t="s">
        <v>94</v>
      </c>
      <c r="AX87" s="12">
        <v>0.06</v>
      </c>
      <c r="AY87" s="13"/>
      <c r="AZ87" s="13"/>
      <c r="BA87" s="13"/>
      <c r="BB87" s="13"/>
      <c r="BC87" s="10"/>
      <c r="BD87" s="13"/>
      <c r="BE87" s="13"/>
      <c r="BF87" s="13"/>
      <c r="BG87" s="10"/>
      <c r="BH87" s="13"/>
      <c r="BI87" s="10">
        <f>0.06*BJ87</f>
        <v>3.2399999999999998</v>
      </c>
      <c r="BJ87" s="10">
        <v>54</v>
      </c>
      <c r="BK87" s="10">
        <f>0.02*BL87</f>
        <v>1</v>
      </c>
      <c r="BL87" s="10">
        <v>50</v>
      </c>
      <c r="BM87" s="12" t="s">
        <v>94</v>
      </c>
      <c r="BN87" s="12" t="s">
        <v>94</v>
      </c>
      <c r="BO87" s="12" t="s">
        <v>94</v>
      </c>
      <c r="BP87" s="16" t="s">
        <v>94</v>
      </c>
      <c r="BQ87" s="16" t="s">
        <v>94</v>
      </c>
      <c r="BR87" s="16" t="s">
        <v>94</v>
      </c>
      <c r="BS87" s="3" t="s">
        <v>72</v>
      </c>
      <c r="BT87" s="3" t="s">
        <v>68</v>
      </c>
      <c r="BU87" s="3" t="s">
        <v>69</v>
      </c>
      <c r="BV87" s="3" t="s">
        <v>74</v>
      </c>
      <c r="BW87" s="3">
        <v>0</v>
      </c>
      <c r="BX87" s="3">
        <v>1</v>
      </c>
      <c r="BY87" s="3">
        <v>1</v>
      </c>
      <c r="BZ87" s="3">
        <v>0</v>
      </c>
      <c r="CA87" s="3">
        <v>0</v>
      </c>
      <c r="CB87" s="3">
        <v>1</v>
      </c>
      <c r="CC87" s="3">
        <v>0</v>
      </c>
      <c r="CD87" s="3">
        <v>1</v>
      </c>
      <c r="CE87" s="3">
        <v>0</v>
      </c>
      <c r="CF87" s="3">
        <v>0</v>
      </c>
      <c r="CH87" s="3">
        <v>1</v>
      </c>
      <c r="CI87">
        <v>0</v>
      </c>
      <c r="CJ87" s="5">
        <v>0</v>
      </c>
    </row>
    <row r="88" spans="1:88" x14ac:dyDescent="0.35">
      <c r="A88" s="3" t="s">
        <v>242</v>
      </c>
      <c r="B88" s="3">
        <v>1</v>
      </c>
      <c r="C88" s="3" t="s">
        <v>227</v>
      </c>
      <c r="D88" s="3">
        <v>0</v>
      </c>
      <c r="E88" s="3">
        <v>2016</v>
      </c>
      <c r="F88" s="3">
        <v>87</v>
      </c>
      <c r="G88" s="3">
        <v>4</v>
      </c>
      <c r="H88" s="3">
        <v>6</v>
      </c>
      <c r="I88" s="3">
        <v>43</v>
      </c>
      <c r="J88" s="3">
        <v>8</v>
      </c>
      <c r="K88" s="3">
        <v>20</v>
      </c>
      <c r="L88" s="3">
        <v>5</v>
      </c>
      <c r="M88" s="3" t="s">
        <v>276</v>
      </c>
      <c r="N88" s="3">
        <v>3</v>
      </c>
      <c r="O88" s="3" t="s">
        <v>243</v>
      </c>
      <c r="P88" s="3" t="s">
        <v>72</v>
      </c>
      <c r="Q88" s="3" t="s">
        <v>68</v>
      </c>
      <c r="R88" s="3" t="s">
        <v>69</v>
      </c>
      <c r="S88" s="3" t="s">
        <v>74</v>
      </c>
      <c r="T88" s="3">
        <v>0</v>
      </c>
      <c r="U88" s="3" t="s">
        <v>244</v>
      </c>
      <c r="V88" s="3" t="s">
        <v>82</v>
      </c>
      <c r="W88" s="3" t="s">
        <v>166</v>
      </c>
      <c r="X88" s="3">
        <v>1</v>
      </c>
      <c r="Y88" s="3">
        <v>0</v>
      </c>
      <c r="Z88" s="3" t="s">
        <v>84</v>
      </c>
      <c r="AA88" s="3" t="s">
        <v>85</v>
      </c>
      <c r="AB88" s="3" t="s">
        <v>94</v>
      </c>
      <c r="AC88" s="3" t="s">
        <v>86</v>
      </c>
      <c r="AD88" s="3" t="s">
        <v>87</v>
      </c>
      <c r="AE88" s="3">
        <v>0</v>
      </c>
      <c r="AF88" s="3" t="s">
        <v>88</v>
      </c>
      <c r="AG88" s="3" t="s">
        <v>88</v>
      </c>
      <c r="AH88" s="10">
        <f t="shared" ref="AH88:AH107" si="17">SUM(BC88,BG88,BP88)</f>
        <v>194.75</v>
      </c>
      <c r="AI88" s="10">
        <f t="shared" ref="AI88:AI107" si="18">SUM(BC88,BG88)</f>
        <v>194.75</v>
      </c>
      <c r="AJ88" s="10" t="s">
        <v>94</v>
      </c>
      <c r="AK88" s="10">
        <v>0</v>
      </c>
      <c r="AL88" s="3" t="s">
        <v>94</v>
      </c>
      <c r="AM88" s="3" t="s">
        <v>94</v>
      </c>
      <c r="AN88" s="3" t="s">
        <v>108</v>
      </c>
      <c r="AO88" s="3" t="s">
        <v>186</v>
      </c>
      <c r="AP88" s="3" t="s">
        <v>125</v>
      </c>
      <c r="AQ88" s="3">
        <v>0</v>
      </c>
      <c r="AR88" s="3">
        <v>0</v>
      </c>
      <c r="AS88" s="3" t="s">
        <v>92</v>
      </c>
      <c r="AT88" s="13" t="s">
        <v>94</v>
      </c>
      <c r="AU88" s="13" t="s">
        <v>94</v>
      </c>
      <c r="AV88" s="12">
        <f t="shared" ref="AV88:AV107" si="19">(BD88-AZ88)/(SQRT((BB88^2+BF88^2)/2))</f>
        <v>-0.1044366145828827</v>
      </c>
      <c r="AW88" s="12" t="s">
        <v>94</v>
      </c>
      <c r="AX88" s="12">
        <v>0.14674999999999999</v>
      </c>
      <c r="AY88" s="12">
        <f t="shared" ref="AY88:AY107" si="20">(AZ88-BD88)/(BH88/SQRT(BC88+BG88))</f>
        <v>1.4574427979041464</v>
      </c>
      <c r="AZ88" s="12">
        <f>(5*32.62)/28.7</f>
        <v>5.6829268292682924</v>
      </c>
      <c r="BA88" s="12">
        <f>(5*2.29)/28.7</f>
        <v>0.39895470383275261</v>
      </c>
      <c r="BB88" s="12">
        <f t="shared" ref="BB88:BB107" si="21">(BA88*SQRT(BC88))</f>
        <v>3.9368360170050836</v>
      </c>
      <c r="BC88" s="16">
        <v>97.375</v>
      </c>
      <c r="BD88" s="12">
        <f>(5*30.26)/28.7</f>
        <v>5.2717770034843214</v>
      </c>
      <c r="BE88" s="12">
        <f>(5*2.29)/28.7</f>
        <v>0.39895470383275261</v>
      </c>
      <c r="BF88" s="12">
        <f t="shared" ref="BF88:BF107" si="22">(BE88*SQRT(BG88))</f>
        <v>3.9368360170050836</v>
      </c>
      <c r="BG88" s="16">
        <v>97.375</v>
      </c>
      <c r="BH88" s="12">
        <f t="shared" ref="BH88:BH107" si="23">SQRT(((BC88-1)*BB88^2 + (BG88-1)*BF88^2)/(BC88+BG88-2))</f>
        <v>3.9368360170050836</v>
      </c>
      <c r="BI88" s="10"/>
      <c r="BJ88" s="10"/>
      <c r="BK88" s="10"/>
      <c r="BL88" s="10"/>
      <c r="BM88" s="12" t="s">
        <v>94</v>
      </c>
      <c r="BN88" s="12" t="s">
        <v>94</v>
      </c>
      <c r="BO88" s="12" t="s">
        <v>94</v>
      </c>
      <c r="BP88" s="16" t="s">
        <v>94</v>
      </c>
      <c r="BQ88" s="16" t="s">
        <v>94</v>
      </c>
      <c r="BR88" s="16" t="s">
        <v>94</v>
      </c>
      <c r="BS88" s="3" t="s">
        <v>72</v>
      </c>
      <c r="BT88" s="3" t="s">
        <v>68</v>
      </c>
      <c r="BU88" s="3" t="s">
        <v>69</v>
      </c>
      <c r="BV88" s="3" t="s">
        <v>74</v>
      </c>
      <c r="BW88" s="3">
        <v>0</v>
      </c>
      <c r="BX88" s="3">
        <v>1</v>
      </c>
      <c r="BY88" s="3">
        <v>1</v>
      </c>
      <c r="BZ88" s="3">
        <v>0</v>
      </c>
      <c r="CA88" s="3">
        <v>0</v>
      </c>
      <c r="CB88" s="3">
        <v>1</v>
      </c>
      <c r="CC88" s="3">
        <v>0</v>
      </c>
      <c r="CD88" s="3">
        <v>1</v>
      </c>
      <c r="CE88" s="3">
        <v>0</v>
      </c>
      <c r="CF88" s="3">
        <v>0</v>
      </c>
      <c r="CH88" s="3">
        <v>1</v>
      </c>
      <c r="CI88">
        <v>0</v>
      </c>
      <c r="CJ88" s="5">
        <v>0</v>
      </c>
    </row>
    <row r="89" spans="1:88" x14ac:dyDescent="0.35">
      <c r="A89" s="3" t="s">
        <v>242</v>
      </c>
      <c r="B89" s="3">
        <v>1</v>
      </c>
      <c r="C89" s="3" t="s">
        <v>227</v>
      </c>
      <c r="D89" s="3">
        <v>0</v>
      </c>
      <c r="E89" s="3">
        <v>2016</v>
      </c>
      <c r="F89" s="3">
        <v>88</v>
      </c>
      <c r="G89" s="3">
        <v>4</v>
      </c>
      <c r="H89" s="3">
        <v>6</v>
      </c>
      <c r="I89" s="3">
        <v>43</v>
      </c>
      <c r="J89" s="3">
        <v>7</v>
      </c>
      <c r="K89" s="3">
        <v>20</v>
      </c>
      <c r="L89" s="3">
        <v>5</v>
      </c>
      <c r="M89" s="3" t="s">
        <v>276</v>
      </c>
      <c r="N89" s="3">
        <v>3</v>
      </c>
      <c r="O89" s="3" t="s">
        <v>243</v>
      </c>
      <c r="P89" s="3" t="s">
        <v>72</v>
      </c>
      <c r="Q89" s="3" t="s">
        <v>68</v>
      </c>
      <c r="R89" s="3" t="s">
        <v>69</v>
      </c>
      <c r="S89" s="3" t="s">
        <v>74</v>
      </c>
      <c r="T89" s="3">
        <v>0</v>
      </c>
      <c r="U89" s="3" t="s">
        <v>250</v>
      </c>
      <c r="V89" s="3" t="s">
        <v>97</v>
      </c>
      <c r="W89" s="3" t="s">
        <v>97</v>
      </c>
      <c r="X89" s="3">
        <v>1</v>
      </c>
      <c r="Y89" s="3">
        <v>0</v>
      </c>
      <c r="Z89" s="3" t="s">
        <v>84</v>
      </c>
      <c r="AA89" s="3" t="s">
        <v>85</v>
      </c>
      <c r="AB89" s="3" t="s">
        <v>94</v>
      </c>
      <c r="AC89" s="3" t="s">
        <v>86</v>
      </c>
      <c r="AD89" s="3" t="s">
        <v>87</v>
      </c>
      <c r="AE89" s="3">
        <v>0</v>
      </c>
      <c r="AF89" s="3" t="s">
        <v>88</v>
      </c>
      <c r="AG89" s="3" t="s">
        <v>88</v>
      </c>
      <c r="AH89" s="10">
        <f t="shared" si="17"/>
        <v>194.75</v>
      </c>
      <c r="AI89" s="10">
        <f t="shared" si="18"/>
        <v>194.75</v>
      </c>
      <c r="AJ89" s="10" t="s">
        <v>94</v>
      </c>
      <c r="AK89" s="10">
        <v>1</v>
      </c>
      <c r="AL89" s="3" t="s">
        <v>94</v>
      </c>
      <c r="AM89" s="3" t="s">
        <v>94</v>
      </c>
      <c r="AN89" s="3" t="s">
        <v>108</v>
      </c>
      <c r="AO89" s="3" t="s">
        <v>186</v>
      </c>
      <c r="AP89" s="3" t="s">
        <v>125</v>
      </c>
      <c r="AQ89" s="3">
        <v>2</v>
      </c>
      <c r="AR89" s="3">
        <v>0</v>
      </c>
      <c r="AS89" s="3" t="s">
        <v>92</v>
      </c>
      <c r="AT89" s="13" t="s">
        <v>94</v>
      </c>
      <c r="AU89" s="13" t="s">
        <v>94</v>
      </c>
      <c r="AV89" s="12">
        <f t="shared" si="19"/>
        <v>-0.1738194879059719</v>
      </c>
      <c r="AW89" s="12" t="s">
        <v>94</v>
      </c>
      <c r="AX89" s="12">
        <v>1.6452000000000001E-2</v>
      </c>
      <c r="AY89" s="12">
        <f t="shared" si="20"/>
        <v>2.42570062037866</v>
      </c>
      <c r="AZ89" s="12">
        <v>7.78</v>
      </c>
      <c r="BA89" s="12">
        <f>(10*2.18)/32.8</f>
        <v>0.66463414634146345</v>
      </c>
      <c r="BB89" s="12">
        <f t="shared" si="21"/>
        <v>6.5585281243992997</v>
      </c>
      <c r="BC89" s="16">
        <v>97.375</v>
      </c>
      <c r="BD89" s="12">
        <v>6.64</v>
      </c>
      <c r="BE89" s="12">
        <f>(10*2.18)/32.8</f>
        <v>0.66463414634146345</v>
      </c>
      <c r="BF89" s="12">
        <f t="shared" si="22"/>
        <v>6.5585281243992997</v>
      </c>
      <c r="BG89" s="16">
        <v>97.375</v>
      </c>
      <c r="BH89" s="12">
        <f t="shared" si="23"/>
        <v>6.5585281243992997</v>
      </c>
      <c r="BI89" s="10"/>
      <c r="BJ89" s="10"/>
      <c r="BK89" s="10"/>
      <c r="BL89" s="10"/>
      <c r="BM89" s="12" t="s">
        <v>94</v>
      </c>
      <c r="BN89" s="12" t="s">
        <v>94</v>
      </c>
      <c r="BO89" s="12" t="s">
        <v>94</v>
      </c>
      <c r="BP89" s="16" t="s">
        <v>94</v>
      </c>
      <c r="BQ89" s="16" t="s">
        <v>94</v>
      </c>
      <c r="BR89" s="16" t="s">
        <v>94</v>
      </c>
      <c r="BS89" s="3" t="s">
        <v>72</v>
      </c>
      <c r="BT89" s="3" t="s">
        <v>68</v>
      </c>
      <c r="BU89" s="3" t="s">
        <v>69</v>
      </c>
      <c r="BV89" s="3" t="s">
        <v>74</v>
      </c>
      <c r="BW89" s="3">
        <v>0</v>
      </c>
      <c r="BX89" s="3">
        <v>1</v>
      </c>
      <c r="BY89" s="3">
        <v>1</v>
      </c>
      <c r="BZ89" s="3">
        <v>0</v>
      </c>
      <c r="CA89" s="3">
        <v>0</v>
      </c>
      <c r="CB89" s="3">
        <v>1</v>
      </c>
      <c r="CC89" s="3">
        <v>0</v>
      </c>
      <c r="CD89" s="3">
        <v>1</v>
      </c>
      <c r="CE89" s="3">
        <v>0</v>
      </c>
      <c r="CF89" s="3">
        <v>0</v>
      </c>
      <c r="CH89" s="3">
        <v>1</v>
      </c>
      <c r="CI89">
        <v>0</v>
      </c>
      <c r="CJ89" s="5">
        <v>0</v>
      </c>
    </row>
    <row r="90" spans="1:88" x14ac:dyDescent="0.35">
      <c r="A90" s="3" t="s">
        <v>242</v>
      </c>
      <c r="B90" s="3">
        <v>1</v>
      </c>
      <c r="C90" s="3" t="s">
        <v>227</v>
      </c>
      <c r="D90" s="3">
        <v>0</v>
      </c>
      <c r="E90" s="3">
        <v>2016</v>
      </c>
      <c r="F90" s="3">
        <v>89</v>
      </c>
      <c r="G90" s="3">
        <v>4</v>
      </c>
      <c r="H90" s="3">
        <v>6</v>
      </c>
      <c r="I90" s="3">
        <v>44</v>
      </c>
      <c r="J90" s="3">
        <v>8</v>
      </c>
      <c r="K90" s="3">
        <v>20</v>
      </c>
      <c r="L90" s="3">
        <v>5</v>
      </c>
      <c r="M90" s="3" t="s">
        <v>276</v>
      </c>
      <c r="N90" s="3">
        <v>3</v>
      </c>
      <c r="O90" s="3" t="s">
        <v>243</v>
      </c>
      <c r="P90" s="3" t="s">
        <v>72</v>
      </c>
      <c r="Q90" s="3" t="s">
        <v>68</v>
      </c>
      <c r="R90" s="3" t="s">
        <v>69</v>
      </c>
      <c r="S90" s="3" t="s">
        <v>74</v>
      </c>
      <c r="T90" s="3">
        <v>0</v>
      </c>
      <c r="U90" s="3" t="s">
        <v>244</v>
      </c>
      <c r="V90" s="3" t="s">
        <v>82</v>
      </c>
      <c r="W90" s="3" t="s">
        <v>166</v>
      </c>
      <c r="X90" s="3">
        <v>1</v>
      </c>
      <c r="Y90" s="3">
        <v>0</v>
      </c>
      <c r="Z90" s="3" t="s">
        <v>84</v>
      </c>
      <c r="AA90" s="3" t="s">
        <v>127</v>
      </c>
      <c r="AB90" s="3">
        <v>0</v>
      </c>
      <c r="AC90" s="3" t="s">
        <v>86</v>
      </c>
      <c r="AD90" s="3" t="s">
        <v>87</v>
      </c>
      <c r="AE90" s="3">
        <v>0</v>
      </c>
      <c r="AF90" s="3" t="s">
        <v>88</v>
      </c>
      <c r="AG90" s="3" t="s">
        <v>88</v>
      </c>
      <c r="AH90" s="10">
        <f t="shared" si="17"/>
        <v>194.75</v>
      </c>
      <c r="AI90" s="10">
        <f t="shared" si="18"/>
        <v>194.75</v>
      </c>
      <c r="AJ90" s="10" t="s">
        <v>94</v>
      </c>
      <c r="AK90" s="10">
        <v>1</v>
      </c>
      <c r="AL90" s="3" t="s">
        <v>94</v>
      </c>
      <c r="AM90" s="3" t="s">
        <v>94</v>
      </c>
      <c r="AN90" s="3" t="s">
        <v>108</v>
      </c>
      <c r="AO90" s="3" t="s">
        <v>186</v>
      </c>
      <c r="AP90" s="3" t="s">
        <v>125</v>
      </c>
      <c r="AQ90" s="3">
        <v>1</v>
      </c>
      <c r="AR90" s="3">
        <v>0</v>
      </c>
      <c r="AS90" s="3" t="s">
        <v>92</v>
      </c>
      <c r="AT90" s="13" t="s">
        <v>94</v>
      </c>
      <c r="AU90" s="13" t="s">
        <v>94</v>
      </c>
      <c r="AV90" s="12">
        <f t="shared" si="19"/>
        <v>0.17435604299006724</v>
      </c>
      <c r="AW90" s="12" t="s">
        <v>94</v>
      </c>
      <c r="AX90" s="12">
        <v>1.5890999999999999E-2</v>
      </c>
      <c r="AY90" s="12">
        <f t="shared" si="20"/>
        <v>-2.4331883998908257</v>
      </c>
      <c r="AZ90" s="12">
        <f>(5*30.04)/28.7</f>
        <v>5.2334494773519165</v>
      </c>
      <c r="BA90" s="12">
        <f>(5*2.29)/28.7</f>
        <v>0.39895470383275261</v>
      </c>
      <c r="BB90" s="12">
        <f t="shared" si="21"/>
        <v>3.9368360170050836</v>
      </c>
      <c r="BC90" s="16">
        <v>97.375</v>
      </c>
      <c r="BD90" s="12">
        <f>(5*33.98)/28.7</f>
        <v>5.9198606271776999</v>
      </c>
      <c r="BE90" s="12">
        <f>(5*2.29)/28.7</f>
        <v>0.39895470383275261</v>
      </c>
      <c r="BF90" s="12">
        <f t="shared" si="22"/>
        <v>3.9368360170050836</v>
      </c>
      <c r="BG90" s="16">
        <v>97.375</v>
      </c>
      <c r="BH90" s="12">
        <f t="shared" si="23"/>
        <v>3.9368360170050836</v>
      </c>
      <c r="BI90" s="10"/>
      <c r="BJ90" s="10"/>
      <c r="BK90" s="10"/>
      <c r="BL90" s="10"/>
      <c r="BM90" s="12" t="s">
        <v>94</v>
      </c>
      <c r="BN90" s="12" t="s">
        <v>94</v>
      </c>
      <c r="BO90" s="12" t="s">
        <v>94</v>
      </c>
      <c r="BP90" s="16" t="s">
        <v>94</v>
      </c>
      <c r="BQ90" s="16" t="s">
        <v>94</v>
      </c>
      <c r="BR90" s="16" t="s">
        <v>94</v>
      </c>
      <c r="BS90" s="3" t="s">
        <v>72</v>
      </c>
      <c r="BT90" s="3" t="s">
        <v>68</v>
      </c>
      <c r="BU90" s="3" t="s">
        <v>69</v>
      </c>
      <c r="BV90" s="3" t="s">
        <v>74</v>
      </c>
      <c r="BW90" s="3">
        <v>0</v>
      </c>
      <c r="BX90" s="3">
        <v>1</v>
      </c>
      <c r="BY90" s="3">
        <v>1</v>
      </c>
      <c r="BZ90" s="3">
        <v>0</v>
      </c>
      <c r="CA90" s="3">
        <v>0</v>
      </c>
      <c r="CB90" s="3">
        <v>1</v>
      </c>
      <c r="CC90" s="3">
        <v>0</v>
      </c>
      <c r="CD90" s="3">
        <v>1</v>
      </c>
      <c r="CE90" s="3">
        <v>0</v>
      </c>
      <c r="CF90" s="3">
        <v>0</v>
      </c>
      <c r="CH90" s="3">
        <v>1</v>
      </c>
      <c r="CI90">
        <v>0</v>
      </c>
      <c r="CJ90" s="5">
        <v>0</v>
      </c>
    </row>
    <row r="91" spans="1:88" x14ac:dyDescent="0.35">
      <c r="A91" s="3" t="s">
        <v>242</v>
      </c>
      <c r="B91" s="3">
        <v>1</v>
      </c>
      <c r="C91" s="3" t="s">
        <v>227</v>
      </c>
      <c r="D91" s="3">
        <v>0</v>
      </c>
      <c r="E91" s="3">
        <v>2016</v>
      </c>
      <c r="F91" s="3">
        <v>90</v>
      </c>
      <c r="G91" s="3">
        <v>4</v>
      </c>
      <c r="H91" s="3">
        <v>6</v>
      </c>
      <c r="I91" s="3">
        <v>44</v>
      </c>
      <c r="J91" s="3">
        <v>7</v>
      </c>
      <c r="K91" s="3">
        <v>20</v>
      </c>
      <c r="L91" s="3">
        <v>5</v>
      </c>
      <c r="M91" s="3" t="s">
        <v>276</v>
      </c>
      <c r="N91" s="3">
        <v>3</v>
      </c>
      <c r="O91" s="3" t="s">
        <v>243</v>
      </c>
      <c r="P91" s="3" t="s">
        <v>72</v>
      </c>
      <c r="Q91" s="3" t="s">
        <v>68</v>
      </c>
      <c r="R91" s="3" t="s">
        <v>69</v>
      </c>
      <c r="S91" s="3" t="s">
        <v>74</v>
      </c>
      <c r="T91" s="3">
        <v>0</v>
      </c>
      <c r="U91" s="3" t="s">
        <v>250</v>
      </c>
      <c r="V91" s="3" t="s">
        <v>97</v>
      </c>
      <c r="W91" s="3" t="s">
        <v>97</v>
      </c>
      <c r="X91" s="3">
        <v>1</v>
      </c>
      <c r="Y91" s="3">
        <v>0</v>
      </c>
      <c r="Z91" s="3" t="s">
        <v>84</v>
      </c>
      <c r="AA91" s="3" t="s">
        <v>127</v>
      </c>
      <c r="AB91" s="3">
        <v>1</v>
      </c>
      <c r="AC91" s="3" t="s">
        <v>86</v>
      </c>
      <c r="AD91" s="3" t="s">
        <v>87</v>
      </c>
      <c r="AE91" s="3">
        <v>0</v>
      </c>
      <c r="AF91" s="3" t="s">
        <v>88</v>
      </c>
      <c r="AG91" s="3" t="s">
        <v>88</v>
      </c>
      <c r="AH91" s="10">
        <f t="shared" si="17"/>
        <v>194.75</v>
      </c>
      <c r="AI91" s="10">
        <f t="shared" si="18"/>
        <v>194.75</v>
      </c>
      <c r="AJ91" s="10" t="s">
        <v>94</v>
      </c>
      <c r="AK91" s="10">
        <v>1</v>
      </c>
      <c r="AL91" s="3" t="s">
        <v>94</v>
      </c>
      <c r="AM91" s="3" t="s">
        <v>94</v>
      </c>
      <c r="AN91" s="3" t="s">
        <v>108</v>
      </c>
      <c r="AO91" s="3" t="s">
        <v>186</v>
      </c>
      <c r="AP91" s="3" t="s">
        <v>125</v>
      </c>
      <c r="AQ91" s="3">
        <v>1</v>
      </c>
      <c r="AR91" s="3">
        <v>0</v>
      </c>
      <c r="AS91" s="3" t="s">
        <v>92</v>
      </c>
      <c r="AT91" s="13" t="s">
        <v>94</v>
      </c>
      <c r="AU91" s="13" t="s">
        <v>94</v>
      </c>
      <c r="AV91" s="12">
        <f t="shared" si="19"/>
        <v>-0.20312823196808988</v>
      </c>
      <c r="AW91" s="12" t="s">
        <v>94</v>
      </c>
      <c r="AX91" s="12">
        <v>5.0730000000000003E-3</v>
      </c>
      <c r="AY91" s="12">
        <f t="shared" si="20"/>
        <v>2.8347125183567372</v>
      </c>
      <c r="AZ91" s="12">
        <v>4.4400000000000004</v>
      </c>
      <c r="BA91" s="12">
        <f>(10*2.16)/32.8</f>
        <v>0.6585365853658538</v>
      </c>
      <c r="BB91" s="12">
        <f t="shared" si="21"/>
        <v>6.498358141606646</v>
      </c>
      <c r="BC91" s="16">
        <v>97.375</v>
      </c>
      <c r="BD91" s="12">
        <v>3.12</v>
      </c>
      <c r="BE91" s="12">
        <f>(10*2.16)/32.8</f>
        <v>0.6585365853658538</v>
      </c>
      <c r="BF91" s="12">
        <f t="shared" si="22"/>
        <v>6.498358141606646</v>
      </c>
      <c r="BG91" s="16">
        <v>97.375</v>
      </c>
      <c r="BH91" s="12">
        <f t="shared" si="23"/>
        <v>6.498358141606646</v>
      </c>
      <c r="BI91" s="10"/>
      <c r="BJ91" s="10"/>
      <c r="BK91" s="10"/>
      <c r="BL91" s="10"/>
      <c r="BM91" s="12" t="s">
        <v>94</v>
      </c>
      <c r="BN91" s="12" t="s">
        <v>94</v>
      </c>
      <c r="BO91" s="12" t="s">
        <v>94</v>
      </c>
      <c r="BP91" s="16" t="s">
        <v>94</v>
      </c>
      <c r="BQ91" s="16" t="s">
        <v>94</v>
      </c>
      <c r="BR91" s="16" t="s">
        <v>94</v>
      </c>
      <c r="BS91" s="3" t="s">
        <v>72</v>
      </c>
      <c r="BT91" s="3" t="s">
        <v>68</v>
      </c>
      <c r="BU91" s="3" t="s">
        <v>69</v>
      </c>
      <c r="BV91" s="3" t="s">
        <v>74</v>
      </c>
      <c r="BW91" s="3">
        <v>0</v>
      </c>
      <c r="BX91" s="3">
        <v>1</v>
      </c>
      <c r="BY91" s="3">
        <v>1</v>
      </c>
      <c r="BZ91" s="3">
        <v>0</v>
      </c>
      <c r="CA91" s="3">
        <v>0</v>
      </c>
      <c r="CB91" s="3">
        <v>1</v>
      </c>
      <c r="CC91" s="3">
        <v>0</v>
      </c>
      <c r="CD91" s="3">
        <v>1</v>
      </c>
      <c r="CE91" s="3">
        <v>0</v>
      </c>
      <c r="CF91" s="3">
        <v>0</v>
      </c>
      <c r="CH91" s="3">
        <v>1</v>
      </c>
      <c r="CI91">
        <v>0</v>
      </c>
      <c r="CJ91" s="5">
        <v>0</v>
      </c>
    </row>
    <row r="92" spans="1:88" x14ac:dyDescent="0.35">
      <c r="A92" s="3" t="s">
        <v>242</v>
      </c>
      <c r="B92" s="3">
        <v>1</v>
      </c>
      <c r="C92" s="3" t="s">
        <v>227</v>
      </c>
      <c r="D92" s="3">
        <v>0</v>
      </c>
      <c r="E92" s="3">
        <v>2016</v>
      </c>
      <c r="F92" s="3">
        <v>91</v>
      </c>
      <c r="G92" s="3">
        <v>4</v>
      </c>
      <c r="H92" s="3">
        <v>6</v>
      </c>
      <c r="I92" s="3">
        <v>45</v>
      </c>
      <c r="J92" s="3">
        <v>8</v>
      </c>
      <c r="K92" s="3">
        <v>20</v>
      </c>
      <c r="L92" s="3">
        <v>5</v>
      </c>
      <c r="M92" s="3" t="s">
        <v>276</v>
      </c>
      <c r="N92" s="3">
        <v>3</v>
      </c>
      <c r="O92" s="3" t="s">
        <v>243</v>
      </c>
      <c r="P92" s="3" t="s">
        <v>72</v>
      </c>
      <c r="Q92" s="3" t="s">
        <v>68</v>
      </c>
      <c r="R92" s="3" t="s">
        <v>69</v>
      </c>
      <c r="S92" s="3" t="s">
        <v>74</v>
      </c>
      <c r="T92" s="3">
        <v>0</v>
      </c>
      <c r="U92" s="3" t="s">
        <v>248</v>
      </c>
      <c r="V92" s="3" t="s">
        <v>82</v>
      </c>
      <c r="W92" s="3" t="s">
        <v>166</v>
      </c>
      <c r="X92" s="3">
        <v>1</v>
      </c>
      <c r="Y92" s="3">
        <v>0</v>
      </c>
      <c r="Z92" s="3" t="s">
        <v>84</v>
      </c>
      <c r="AA92" s="3" t="s">
        <v>127</v>
      </c>
      <c r="AB92" s="3">
        <v>0</v>
      </c>
      <c r="AC92" s="3" t="s">
        <v>86</v>
      </c>
      <c r="AD92" s="3" t="s">
        <v>87</v>
      </c>
      <c r="AE92" s="3">
        <v>0</v>
      </c>
      <c r="AF92" s="3" t="s">
        <v>88</v>
      </c>
      <c r="AG92" s="3" t="s">
        <v>88</v>
      </c>
      <c r="AH92" s="10">
        <f t="shared" si="17"/>
        <v>194.75</v>
      </c>
      <c r="AI92" s="10">
        <f t="shared" si="18"/>
        <v>194.75</v>
      </c>
      <c r="AJ92" s="10" t="s">
        <v>94</v>
      </c>
      <c r="AK92" s="10">
        <v>1</v>
      </c>
      <c r="AL92" s="3" t="s">
        <v>94</v>
      </c>
      <c r="AM92" s="3" t="s">
        <v>94</v>
      </c>
      <c r="AN92" s="3" t="s">
        <v>108</v>
      </c>
      <c r="AO92" s="3" t="s">
        <v>186</v>
      </c>
      <c r="AP92" s="3" t="s">
        <v>125</v>
      </c>
      <c r="AQ92" s="3">
        <v>1</v>
      </c>
      <c r="AR92" s="3">
        <v>0</v>
      </c>
      <c r="AS92" s="3" t="s">
        <v>92</v>
      </c>
      <c r="AT92" s="13" t="s">
        <v>94</v>
      </c>
      <c r="AU92" s="13" t="s">
        <v>94</v>
      </c>
      <c r="AV92" s="12">
        <f t="shared" si="19"/>
        <v>0.20577553297051096</v>
      </c>
      <c r="AW92" s="12" t="s">
        <v>94</v>
      </c>
      <c r="AX92" s="12">
        <v>4.5370000000000002E-3</v>
      </c>
      <c r="AY92" s="12">
        <f t="shared" si="20"/>
        <v>-2.8716563602772451</v>
      </c>
      <c r="AZ92" s="12">
        <f>(5*27.75)/28.7</f>
        <v>4.8344947735191637</v>
      </c>
      <c r="BA92" s="12">
        <f>(5*2.29)/28.7</f>
        <v>0.39895470383275261</v>
      </c>
      <c r="BB92" s="12">
        <f t="shared" si="21"/>
        <v>3.9368360170050836</v>
      </c>
      <c r="BC92" s="16">
        <v>97.375</v>
      </c>
      <c r="BD92" s="12">
        <f>(5*32.4)/28.7</f>
        <v>5.6445993031358883</v>
      </c>
      <c r="BE92" s="12">
        <f>(5*2.29)/28.7</f>
        <v>0.39895470383275261</v>
      </c>
      <c r="BF92" s="12">
        <f t="shared" si="22"/>
        <v>3.9368360170050836</v>
      </c>
      <c r="BG92" s="16">
        <v>97.375</v>
      </c>
      <c r="BH92" s="12">
        <f t="shared" si="23"/>
        <v>3.9368360170050836</v>
      </c>
      <c r="BI92" s="10"/>
      <c r="BJ92" s="10"/>
      <c r="BK92" s="10"/>
      <c r="BL92" s="10"/>
      <c r="BM92" s="12" t="s">
        <v>94</v>
      </c>
      <c r="BN92" s="12" t="s">
        <v>94</v>
      </c>
      <c r="BO92" s="12" t="s">
        <v>94</v>
      </c>
      <c r="BP92" s="16" t="s">
        <v>94</v>
      </c>
      <c r="BQ92" s="16" t="s">
        <v>94</v>
      </c>
      <c r="BR92" s="16" t="s">
        <v>94</v>
      </c>
      <c r="BS92" s="3" t="s">
        <v>72</v>
      </c>
      <c r="BT92" s="3" t="s">
        <v>68</v>
      </c>
      <c r="BU92" s="3" t="s">
        <v>69</v>
      </c>
      <c r="BV92" s="3" t="s">
        <v>74</v>
      </c>
      <c r="BW92" s="3">
        <v>0</v>
      </c>
      <c r="BX92" s="3">
        <v>1</v>
      </c>
      <c r="BY92" s="3">
        <v>1</v>
      </c>
      <c r="BZ92" s="3">
        <v>0</v>
      </c>
      <c r="CA92" s="3">
        <v>0</v>
      </c>
      <c r="CB92" s="3">
        <v>1</v>
      </c>
      <c r="CC92" s="3">
        <v>0</v>
      </c>
      <c r="CD92" s="3">
        <v>1</v>
      </c>
      <c r="CE92" s="3">
        <v>0</v>
      </c>
      <c r="CF92" s="3">
        <v>0</v>
      </c>
      <c r="CH92" s="3">
        <v>1</v>
      </c>
      <c r="CI92">
        <v>0</v>
      </c>
      <c r="CJ92" s="5">
        <v>0</v>
      </c>
    </row>
    <row r="93" spans="1:88" x14ac:dyDescent="0.35">
      <c r="A93" s="3" t="s">
        <v>242</v>
      </c>
      <c r="B93" s="3">
        <v>1</v>
      </c>
      <c r="C93" s="3" t="s">
        <v>227</v>
      </c>
      <c r="D93" s="3">
        <v>0</v>
      </c>
      <c r="E93" s="3">
        <v>2016</v>
      </c>
      <c r="F93" s="3">
        <v>92</v>
      </c>
      <c r="G93" s="3">
        <v>4</v>
      </c>
      <c r="H93" s="3">
        <v>6</v>
      </c>
      <c r="I93" s="3">
        <v>45</v>
      </c>
      <c r="J93" s="3">
        <v>6</v>
      </c>
      <c r="K93" s="3">
        <v>20</v>
      </c>
      <c r="L93" s="3">
        <v>5</v>
      </c>
      <c r="M93" s="3" t="s">
        <v>276</v>
      </c>
      <c r="N93" s="3">
        <v>3</v>
      </c>
      <c r="O93" s="3" t="s">
        <v>243</v>
      </c>
      <c r="P93" s="3" t="s">
        <v>72</v>
      </c>
      <c r="Q93" s="3" t="s">
        <v>68</v>
      </c>
      <c r="R93" s="3" t="s">
        <v>69</v>
      </c>
      <c r="S93" s="3" t="s">
        <v>74</v>
      </c>
      <c r="T93" s="3">
        <v>0</v>
      </c>
      <c r="U93" s="3" t="s">
        <v>204</v>
      </c>
      <c r="V93" s="3" t="s">
        <v>97</v>
      </c>
      <c r="W93" s="3" t="s">
        <v>97</v>
      </c>
      <c r="X93" s="3">
        <v>1</v>
      </c>
      <c r="Y93" s="3">
        <v>0</v>
      </c>
      <c r="Z93" s="3" t="s">
        <v>84</v>
      </c>
      <c r="AA93" s="3" t="s">
        <v>127</v>
      </c>
      <c r="AB93" s="3">
        <v>1</v>
      </c>
      <c r="AC93" s="3" t="s">
        <v>86</v>
      </c>
      <c r="AD93" s="3" t="s">
        <v>87</v>
      </c>
      <c r="AE93" s="3">
        <v>0</v>
      </c>
      <c r="AF93" s="3" t="s">
        <v>88</v>
      </c>
      <c r="AG93" s="3" t="s">
        <v>88</v>
      </c>
      <c r="AH93" s="10">
        <f t="shared" si="17"/>
        <v>194.75</v>
      </c>
      <c r="AI93" s="10">
        <f t="shared" si="18"/>
        <v>194.75</v>
      </c>
      <c r="AJ93" s="10" t="s">
        <v>94</v>
      </c>
      <c r="AK93" s="10">
        <v>0</v>
      </c>
      <c r="AL93" s="3" t="s">
        <v>94</v>
      </c>
      <c r="AM93" s="3" t="s">
        <v>94</v>
      </c>
      <c r="AN93" s="3" t="s">
        <v>108</v>
      </c>
      <c r="AO93" s="3" t="s">
        <v>186</v>
      </c>
      <c r="AP93" s="3" t="s">
        <v>125</v>
      </c>
      <c r="AQ93" s="3">
        <v>0</v>
      </c>
      <c r="AR93" s="3">
        <v>0</v>
      </c>
      <c r="AS93" s="3" t="s">
        <v>92</v>
      </c>
      <c r="AT93" s="13" t="s">
        <v>94</v>
      </c>
      <c r="AU93" s="13" t="s">
        <v>94</v>
      </c>
      <c r="AV93" s="12">
        <f t="shared" si="19"/>
        <v>1.3849652179642468E-2</v>
      </c>
      <c r="AW93" s="12" t="s">
        <v>94</v>
      </c>
      <c r="AX93" s="12">
        <v>0.85969499999999999</v>
      </c>
      <c r="AY93" s="12">
        <f t="shared" si="20"/>
        <v>-0.19327585352432267</v>
      </c>
      <c r="AZ93" s="12">
        <v>5.16</v>
      </c>
      <c r="BA93" s="12">
        <f>(10*2.16)/32.8</f>
        <v>0.6585365853658538</v>
      </c>
      <c r="BB93" s="12">
        <f t="shared" si="21"/>
        <v>6.498358141606646</v>
      </c>
      <c r="BC93" s="16">
        <v>97.375</v>
      </c>
      <c r="BD93" s="12">
        <v>5.25</v>
      </c>
      <c r="BE93" s="12">
        <f>(10*2.16)/32.8</f>
        <v>0.6585365853658538</v>
      </c>
      <c r="BF93" s="12">
        <f t="shared" si="22"/>
        <v>6.498358141606646</v>
      </c>
      <c r="BG93" s="16">
        <v>97.375</v>
      </c>
      <c r="BH93" s="12">
        <f t="shared" si="23"/>
        <v>6.498358141606646</v>
      </c>
      <c r="BI93" s="10"/>
      <c r="BJ93" s="10"/>
      <c r="BK93" s="10"/>
      <c r="BL93" s="10"/>
      <c r="BM93" s="12" t="s">
        <v>94</v>
      </c>
      <c r="BN93" s="12" t="s">
        <v>94</v>
      </c>
      <c r="BO93" s="12" t="s">
        <v>94</v>
      </c>
      <c r="BP93" s="16" t="s">
        <v>94</v>
      </c>
      <c r="BQ93" s="16" t="s">
        <v>94</v>
      </c>
      <c r="BR93" s="16" t="s">
        <v>94</v>
      </c>
      <c r="BS93" s="3" t="s">
        <v>72</v>
      </c>
      <c r="BT93" s="3" t="s">
        <v>68</v>
      </c>
      <c r="BU93" s="3" t="s">
        <v>69</v>
      </c>
      <c r="BV93" s="3" t="s">
        <v>74</v>
      </c>
      <c r="BW93" s="3">
        <v>0</v>
      </c>
      <c r="BX93" s="3">
        <v>1</v>
      </c>
      <c r="BY93" s="3">
        <v>1</v>
      </c>
      <c r="BZ93" s="3">
        <v>0</v>
      </c>
      <c r="CA93" s="3">
        <v>0</v>
      </c>
      <c r="CB93" s="3">
        <v>1</v>
      </c>
      <c r="CC93" s="3">
        <v>0</v>
      </c>
      <c r="CD93" s="3">
        <v>1</v>
      </c>
      <c r="CE93" s="3">
        <v>0</v>
      </c>
      <c r="CF93" s="3">
        <v>0</v>
      </c>
      <c r="CH93" s="3">
        <v>1</v>
      </c>
      <c r="CI93">
        <v>0</v>
      </c>
      <c r="CJ93" s="5">
        <v>0</v>
      </c>
    </row>
    <row r="94" spans="1:88" x14ac:dyDescent="0.35">
      <c r="A94" s="3" t="s">
        <v>242</v>
      </c>
      <c r="B94" s="3">
        <v>1</v>
      </c>
      <c r="C94" s="3" t="s">
        <v>227</v>
      </c>
      <c r="D94" s="3">
        <v>0</v>
      </c>
      <c r="E94" s="3">
        <v>2016</v>
      </c>
      <c r="F94" s="3">
        <v>93</v>
      </c>
      <c r="G94" s="3">
        <v>4</v>
      </c>
      <c r="H94" s="3">
        <v>6</v>
      </c>
      <c r="I94" s="3">
        <v>46</v>
      </c>
      <c r="J94" s="3">
        <v>7</v>
      </c>
      <c r="K94" s="3">
        <v>20</v>
      </c>
      <c r="L94" s="3">
        <v>5</v>
      </c>
      <c r="M94" s="3" t="s">
        <v>276</v>
      </c>
      <c r="N94" s="3">
        <v>3</v>
      </c>
      <c r="O94" s="3" t="s">
        <v>243</v>
      </c>
      <c r="P94" s="3" t="s">
        <v>72</v>
      </c>
      <c r="Q94" s="3" t="s">
        <v>68</v>
      </c>
      <c r="R94" s="3" t="s">
        <v>69</v>
      </c>
      <c r="S94" s="3" t="s">
        <v>74</v>
      </c>
      <c r="T94" s="3">
        <v>0</v>
      </c>
      <c r="U94" s="3" t="s">
        <v>204</v>
      </c>
      <c r="V94" s="3" t="s">
        <v>97</v>
      </c>
      <c r="W94" s="3" t="s">
        <v>97</v>
      </c>
      <c r="X94" s="3">
        <v>1</v>
      </c>
      <c r="Y94" s="3">
        <v>0</v>
      </c>
      <c r="Z94" s="3" t="s">
        <v>84</v>
      </c>
      <c r="AA94" s="3" t="s">
        <v>85</v>
      </c>
      <c r="AB94" s="3" t="s">
        <v>94</v>
      </c>
      <c r="AC94" s="3" t="s">
        <v>86</v>
      </c>
      <c r="AD94" s="3" t="s">
        <v>87</v>
      </c>
      <c r="AE94" s="3">
        <v>0</v>
      </c>
      <c r="AF94" s="3" t="s">
        <v>88</v>
      </c>
      <c r="AG94" s="3" t="s">
        <v>88</v>
      </c>
      <c r="AH94" s="10">
        <f t="shared" si="17"/>
        <v>194.75</v>
      </c>
      <c r="AI94" s="10">
        <f t="shared" si="18"/>
        <v>194.75</v>
      </c>
      <c r="AJ94" s="10" t="s">
        <v>94</v>
      </c>
      <c r="AK94" s="10">
        <v>1</v>
      </c>
      <c r="AL94" s="3" t="s">
        <v>94</v>
      </c>
      <c r="AM94" s="3" t="s">
        <v>94</v>
      </c>
      <c r="AN94" s="3" t="s">
        <v>108</v>
      </c>
      <c r="AO94" s="3" t="s">
        <v>186</v>
      </c>
      <c r="AP94" s="3" t="s">
        <v>125</v>
      </c>
      <c r="AQ94" s="3">
        <v>0</v>
      </c>
      <c r="AR94" s="3">
        <v>0</v>
      </c>
      <c r="AS94" s="3" t="s">
        <v>92</v>
      </c>
      <c r="AT94" s="13" t="s">
        <v>94</v>
      </c>
      <c r="AU94" s="13" t="s">
        <v>94</v>
      </c>
      <c r="AV94" s="12">
        <f t="shared" si="19"/>
        <v>2.7445182300942873E-2</v>
      </c>
      <c r="AW94" s="12" t="s">
        <v>94</v>
      </c>
      <c r="AX94" s="21">
        <v>0.71179000000000003</v>
      </c>
      <c r="AY94" s="12">
        <f t="shared" si="20"/>
        <v>-0.38300536111241923</v>
      </c>
      <c r="AZ94" s="12">
        <v>10.210000000000001</v>
      </c>
      <c r="BA94" s="12">
        <f>(10*2.18)/32.8</f>
        <v>0.66463414634146345</v>
      </c>
      <c r="BB94" s="12">
        <f t="shared" si="21"/>
        <v>6.5585281243992997</v>
      </c>
      <c r="BC94" s="16">
        <v>97.375</v>
      </c>
      <c r="BD94" s="12">
        <v>10.39</v>
      </c>
      <c r="BE94" s="12">
        <f>(10*2.18)/32.8</f>
        <v>0.66463414634146345</v>
      </c>
      <c r="BF94" s="12">
        <f t="shared" si="22"/>
        <v>6.5585281243992997</v>
      </c>
      <c r="BG94" s="16">
        <v>97.375</v>
      </c>
      <c r="BH94" s="12">
        <f t="shared" si="23"/>
        <v>6.5585281243992997</v>
      </c>
      <c r="BI94" s="10"/>
      <c r="BJ94" s="10"/>
      <c r="BK94" s="10"/>
      <c r="BL94" s="10"/>
      <c r="BM94" s="12" t="s">
        <v>94</v>
      </c>
      <c r="BN94" s="12" t="s">
        <v>94</v>
      </c>
      <c r="BO94" s="12" t="s">
        <v>94</v>
      </c>
      <c r="BP94" s="16" t="s">
        <v>94</v>
      </c>
      <c r="BQ94" s="16" t="s">
        <v>94</v>
      </c>
      <c r="BR94" s="16" t="s">
        <v>94</v>
      </c>
      <c r="BS94" s="3" t="s">
        <v>72</v>
      </c>
      <c r="BT94" s="3" t="s">
        <v>68</v>
      </c>
      <c r="BU94" s="3" t="s">
        <v>69</v>
      </c>
      <c r="BV94" s="3" t="s">
        <v>74</v>
      </c>
      <c r="BW94" s="3">
        <v>0</v>
      </c>
      <c r="BX94" s="3">
        <v>1</v>
      </c>
      <c r="BY94" s="3">
        <v>1</v>
      </c>
      <c r="BZ94" s="3">
        <v>0</v>
      </c>
      <c r="CA94" s="3">
        <v>0</v>
      </c>
      <c r="CB94" s="3">
        <v>1</v>
      </c>
      <c r="CC94" s="3">
        <v>0</v>
      </c>
      <c r="CD94" s="3">
        <v>1</v>
      </c>
      <c r="CE94" s="3">
        <v>0</v>
      </c>
      <c r="CF94" s="3">
        <v>0</v>
      </c>
      <c r="CH94" s="3">
        <v>1</v>
      </c>
      <c r="CI94">
        <v>0</v>
      </c>
      <c r="CJ94" s="5">
        <v>0</v>
      </c>
    </row>
    <row r="95" spans="1:88" x14ac:dyDescent="0.35">
      <c r="A95" s="3" t="s">
        <v>242</v>
      </c>
      <c r="B95" s="3">
        <v>1</v>
      </c>
      <c r="C95" s="3" t="s">
        <v>227</v>
      </c>
      <c r="D95" s="3">
        <v>0</v>
      </c>
      <c r="E95" s="3">
        <v>2016</v>
      </c>
      <c r="F95" s="3">
        <v>94</v>
      </c>
      <c r="G95" s="3">
        <v>4</v>
      </c>
      <c r="H95" s="3">
        <v>6</v>
      </c>
      <c r="I95" s="3">
        <v>46</v>
      </c>
      <c r="J95" s="3">
        <v>8</v>
      </c>
      <c r="K95" s="3">
        <v>20</v>
      </c>
      <c r="L95" s="3">
        <v>5</v>
      </c>
      <c r="M95" s="3" t="s">
        <v>276</v>
      </c>
      <c r="N95" s="3">
        <v>3</v>
      </c>
      <c r="O95" s="3" t="s">
        <v>243</v>
      </c>
      <c r="P95" s="3" t="s">
        <v>72</v>
      </c>
      <c r="Q95" s="3" t="s">
        <v>68</v>
      </c>
      <c r="R95" s="3" t="s">
        <v>69</v>
      </c>
      <c r="S95" s="3" t="s">
        <v>74</v>
      </c>
      <c r="T95" s="3">
        <v>0</v>
      </c>
      <c r="U95" s="3" t="s">
        <v>248</v>
      </c>
      <c r="V95" s="3" t="s">
        <v>82</v>
      </c>
      <c r="W95" s="3" t="s">
        <v>166</v>
      </c>
      <c r="X95" s="3">
        <v>1</v>
      </c>
      <c r="Y95" s="3">
        <v>0</v>
      </c>
      <c r="Z95" s="3" t="s">
        <v>84</v>
      </c>
      <c r="AA95" s="3" t="s">
        <v>85</v>
      </c>
      <c r="AB95" s="3" t="s">
        <v>94</v>
      </c>
      <c r="AC95" s="3" t="s">
        <v>86</v>
      </c>
      <c r="AD95" s="3" t="s">
        <v>87</v>
      </c>
      <c r="AE95" s="3">
        <v>0</v>
      </c>
      <c r="AF95" s="3" t="s">
        <v>88</v>
      </c>
      <c r="AG95" s="3" t="s">
        <v>88</v>
      </c>
      <c r="AH95" s="10">
        <f t="shared" si="17"/>
        <v>194.75</v>
      </c>
      <c r="AI95" s="10">
        <f t="shared" si="18"/>
        <v>194.75</v>
      </c>
      <c r="AJ95" s="10" t="s">
        <v>94</v>
      </c>
      <c r="AK95" s="10">
        <v>1</v>
      </c>
      <c r="AL95" s="3" t="s">
        <v>94</v>
      </c>
      <c r="AM95" s="3" t="s">
        <v>94</v>
      </c>
      <c r="AN95" s="3" t="s">
        <v>108</v>
      </c>
      <c r="AO95" s="3" t="s">
        <v>186</v>
      </c>
      <c r="AP95" s="3" t="s">
        <v>125</v>
      </c>
      <c r="AQ95" s="3">
        <v>0</v>
      </c>
      <c r="AR95" s="3">
        <v>0</v>
      </c>
      <c r="AS95" s="3" t="s">
        <v>92</v>
      </c>
      <c r="AT95" s="13" t="s">
        <v>94</v>
      </c>
      <c r="AU95" s="13" t="s">
        <v>94</v>
      </c>
      <c r="AV95" s="12">
        <f t="shared" si="19"/>
        <v>0.13585610456332664</v>
      </c>
      <c r="AW95" s="12" t="s">
        <v>94</v>
      </c>
      <c r="AX95" s="12">
        <v>5.9462000000000001E-2</v>
      </c>
      <c r="AY95" s="12">
        <f t="shared" si="20"/>
        <v>-1.8959107582905692</v>
      </c>
      <c r="AZ95" s="12">
        <f>(5*31.62)/28.7</f>
        <v>5.508710801393728</v>
      </c>
      <c r="BA95" s="12">
        <f>(5*2.29)/28.7</f>
        <v>0.39895470383275261</v>
      </c>
      <c r="BB95" s="12">
        <f t="shared" si="21"/>
        <v>3.9368360170050836</v>
      </c>
      <c r="BC95" s="16">
        <v>97.375</v>
      </c>
      <c r="BD95" s="12">
        <f>(5*34.69)/28.7</f>
        <v>6.0435540069686411</v>
      </c>
      <c r="BE95" s="12">
        <f>(5*2.29)/28.7</f>
        <v>0.39895470383275261</v>
      </c>
      <c r="BF95" s="12">
        <f t="shared" si="22"/>
        <v>3.9368360170050836</v>
      </c>
      <c r="BG95" s="16">
        <v>97.375</v>
      </c>
      <c r="BH95" s="12">
        <f t="shared" si="23"/>
        <v>3.9368360170050836</v>
      </c>
      <c r="BI95" s="10"/>
      <c r="BJ95" s="10"/>
      <c r="BK95" s="10"/>
      <c r="BL95" s="10"/>
      <c r="BM95" s="12" t="s">
        <v>94</v>
      </c>
      <c r="BN95" s="12" t="s">
        <v>94</v>
      </c>
      <c r="BO95" s="12" t="s">
        <v>94</v>
      </c>
      <c r="BP95" s="16" t="s">
        <v>94</v>
      </c>
      <c r="BQ95" s="16" t="s">
        <v>94</v>
      </c>
      <c r="BR95" s="16" t="s">
        <v>94</v>
      </c>
      <c r="BS95" s="3" t="s">
        <v>72</v>
      </c>
      <c r="BT95" s="3" t="s">
        <v>68</v>
      </c>
      <c r="BU95" s="3" t="s">
        <v>69</v>
      </c>
      <c r="BV95" s="3" t="s">
        <v>74</v>
      </c>
      <c r="BW95" s="3">
        <v>0</v>
      </c>
      <c r="BX95" s="3">
        <v>1</v>
      </c>
      <c r="BY95" s="3">
        <v>1</v>
      </c>
      <c r="BZ95" s="3">
        <v>0</v>
      </c>
      <c r="CA95" s="3">
        <v>0</v>
      </c>
      <c r="CB95" s="3">
        <v>1</v>
      </c>
      <c r="CC95" s="3">
        <v>0</v>
      </c>
      <c r="CD95" s="3">
        <v>1</v>
      </c>
      <c r="CE95" s="3">
        <v>0</v>
      </c>
      <c r="CF95" s="3">
        <v>0</v>
      </c>
      <c r="CH95" s="3">
        <v>1</v>
      </c>
      <c r="CI95">
        <v>0</v>
      </c>
      <c r="CJ95" s="5">
        <v>0</v>
      </c>
    </row>
    <row r="96" spans="1:88" x14ac:dyDescent="0.35">
      <c r="A96" s="3" t="s">
        <v>242</v>
      </c>
      <c r="B96" s="3">
        <v>1</v>
      </c>
      <c r="C96" s="3" t="s">
        <v>227</v>
      </c>
      <c r="D96" s="3">
        <v>0</v>
      </c>
      <c r="E96" s="3">
        <v>2016</v>
      </c>
      <c r="F96" s="3">
        <v>95</v>
      </c>
      <c r="G96" s="3">
        <v>5</v>
      </c>
      <c r="H96" s="3">
        <v>7</v>
      </c>
      <c r="I96" s="3">
        <v>47</v>
      </c>
      <c r="J96" s="3">
        <v>9</v>
      </c>
      <c r="K96" s="3">
        <v>20</v>
      </c>
      <c r="L96" s="3">
        <v>5</v>
      </c>
      <c r="M96" s="3" t="s">
        <v>277</v>
      </c>
      <c r="N96" s="3">
        <v>3</v>
      </c>
      <c r="O96" s="3" t="s">
        <v>243</v>
      </c>
      <c r="P96" s="3" t="s">
        <v>72</v>
      </c>
      <c r="Q96" s="3" t="s">
        <v>68</v>
      </c>
      <c r="R96" s="3" t="s">
        <v>69</v>
      </c>
      <c r="S96" s="3" t="s">
        <v>74</v>
      </c>
      <c r="T96" s="3">
        <v>0</v>
      </c>
      <c r="U96" s="3" t="s">
        <v>245</v>
      </c>
      <c r="V96" s="3" t="s">
        <v>97</v>
      </c>
      <c r="W96" s="3" t="s">
        <v>97</v>
      </c>
      <c r="X96" s="3">
        <v>1</v>
      </c>
      <c r="Y96" s="3">
        <v>0</v>
      </c>
      <c r="Z96" s="3" t="s">
        <v>84</v>
      </c>
      <c r="AA96" s="3" t="s">
        <v>127</v>
      </c>
      <c r="AB96" s="3">
        <v>1</v>
      </c>
      <c r="AC96" s="3" t="s">
        <v>86</v>
      </c>
      <c r="AD96" s="3" t="s">
        <v>87</v>
      </c>
      <c r="AE96" s="3">
        <v>0</v>
      </c>
      <c r="AF96" s="3" t="s">
        <v>88</v>
      </c>
      <c r="AG96" s="3" t="s">
        <v>88</v>
      </c>
      <c r="AH96" s="10">
        <f t="shared" si="17"/>
        <v>204.25</v>
      </c>
      <c r="AI96" s="10">
        <f t="shared" si="18"/>
        <v>204.25</v>
      </c>
      <c r="AJ96" s="10" t="s">
        <v>94</v>
      </c>
      <c r="AK96" s="10">
        <v>0</v>
      </c>
      <c r="AL96" s="3" t="s">
        <v>94</v>
      </c>
      <c r="AM96" s="3" t="s">
        <v>94</v>
      </c>
      <c r="AN96" s="3" t="s">
        <v>108</v>
      </c>
      <c r="AO96" s="3" t="s">
        <v>186</v>
      </c>
      <c r="AP96" s="3" t="s">
        <v>125</v>
      </c>
      <c r="AQ96" s="3">
        <v>0</v>
      </c>
      <c r="AR96" s="3">
        <v>0</v>
      </c>
      <c r="AS96" s="3" t="s">
        <v>92</v>
      </c>
      <c r="AT96" s="13" t="s">
        <v>94</v>
      </c>
      <c r="AU96" s="13" t="s">
        <v>94</v>
      </c>
      <c r="AV96" s="12">
        <f t="shared" si="19"/>
        <v>-9.0868341693008586E-2</v>
      </c>
      <c r="AW96" s="12" t="s">
        <v>94</v>
      </c>
      <c r="AX96" s="12">
        <v>0.19645399999999999</v>
      </c>
      <c r="AY96" s="12">
        <f t="shared" si="20"/>
        <v>1.2986545308033739</v>
      </c>
      <c r="AZ96" s="12">
        <v>5.34</v>
      </c>
      <c r="BA96" s="12">
        <f>(10*1.67)/25.14</f>
        <v>0.66428003182179785</v>
      </c>
      <c r="BB96" s="12">
        <f t="shared" si="21"/>
        <v>6.7130090484190363</v>
      </c>
      <c r="BC96" s="16">
        <v>102.125</v>
      </c>
      <c r="BD96" s="12">
        <v>4.7300000000000004</v>
      </c>
      <c r="BE96" s="12">
        <f>(10*1.67)/25.14</f>
        <v>0.66428003182179785</v>
      </c>
      <c r="BF96" s="12">
        <f t="shared" si="22"/>
        <v>6.7130090484190363</v>
      </c>
      <c r="BG96" s="16">
        <v>102.125</v>
      </c>
      <c r="BH96" s="12">
        <f t="shared" si="23"/>
        <v>6.7130090484190363</v>
      </c>
      <c r="BI96" s="10"/>
      <c r="BJ96" s="10"/>
      <c r="BK96" s="10"/>
      <c r="BL96" s="10"/>
      <c r="BM96" s="12" t="s">
        <v>94</v>
      </c>
      <c r="BN96" s="12" t="s">
        <v>94</v>
      </c>
      <c r="BO96" s="12" t="s">
        <v>94</v>
      </c>
      <c r="BP96" s="16" t="s">
        <v>94</v>
      </c>
      <c r="BQ96" s="16" t="s">
        <v>94</v>
      </c>
      <c r="BR96" s="16" t="s">
        <v>94</v>
      </c>
      <c r="BS96" s="3" t="s">
        <v>72</v>
      </c>
      <c r="BT96" s="3" t="s">
        <v>68</v>
      </c>
      <c r="BU96" s="3" t="s">
        <v>69</v>
      </c>
      <c r="BV96" s="3" t="s">
        <v>74</v>
      </c>
      <c r="BW96" s="3">
        <v>0</v>
      </c>
      <c r="BX96" s="3">
        <v>1</v>
      </c>
      <c r="BY96" s="3">
        <v>1</v>
      </c>
      <c r="BZ96" s="3">
        <v>0</v>
      </c>
      <c r="CA96" s="3">
        <v>0</v>
      </c>
      <c r="CB96" s="3">
        <v>1</v>
      </c>
      <c r="CC96" s="3">
        <v>0</v>
      </c>
      <c r="CD96" s="3">
        <v>1</v>
      </c>
      <c r="CE96" s="3">
        <v>0</v>
      </c>
      <c r="CF96" s="3">
        <v>0</v>
      </c>
      <c r="CH96" s="3">
        <v>1</v>
      </c>
      <c r="CI96">
        <v>0</v>
      </c>
      <c r="CJ96" s="5">
        <v>0</v>
      </c>
    </row>
    <row r="97" spans="1:88" x14ac:dyDescent="0.35">
      <c r="A97" s="3" t="s">
        <v>242</v>
      </c>
      <c r="B97" s="3">
        <v>1</v>
      </c>
      <c r="C97" s="3" t="s">
        <v>227</v>
      </c>
      <c r="D97" s="3">
        <v>0</v>
      </c>
      <c r="E97" s="3">
        <v>2016</v>
      </c>
      <c r="F97" s="3">
        <v>96</v>
      </c>
      <c r="G97" s="3">
        <v>5</v>
      </c>
      <c r="H97" s="3">
        <v>7</v>
      </c>
      <c r="I97" s="3">
        <v>47</v>
      </c>
      <c r="J97" s="3">
        <v>11</v>
      </c>
      <c r="K97" s="3">
        <v>20</v>
      </c>
      <c r="L97" s="3">
        <v>5</v>
      </c>
      <c r="M97" s="3" t="s">
        <v>277</v>
      </c>
      <c r="N97" s="3">
        <v>3</v>
      </c>
      <c r="O97" s="3" t="s">
        <v>243</v>
      </c>
      <c r="P97" s="3" t="s">
        <v>72</v>
      </c>
      <c r="Q97" s="3" t="s">
        <v>68</v>
      </c>
      <c r="R97" s="3" t="s">
        <v>69</v>
      </c>
      <c r="S97" s="3" t="s">
        <v>74</v>
      </c>
      <c r="T97" s="3">
        <v>0</v>
      </c>
      <c r="U97" s="3" t="s">
        <v>247</v>
      </c>
      <c r="V97" s="3" t="s">
        <v>82</v>
      </c>
      <c r="W97" s="3" t="s">
        <v>177</v>
      </c>
      <c r="X97" s="3">
        <v>1</v>
      </c>
      <c r="Y97" s="3">
        <v>0</v>
      </c>
      <c r="Z97" s="3" t="s">
        <v>84</v>
      </c>
      <c r="AA97" s="3" t="s">
        <v>127</v>
      </c>
      <c r="AB97" s="3">
        <v>0</v>
      </c>
      <c r="AC97" s="3" t="s">
        <v>86</v>
      </c>
      <c r="AD97" s="3" t="s">
        <v>87</v>
      </c>
      <c r="AE97" s="3">
        <v>0</v>
      </c>
      <c r="AF97" s="3" t="s">
        <v>88</v>
      </c>
      <c r="AG97" s="3" t="s">
        <v>88</v>
      </c>
      <c r="AH97" s="10">
        <f t="shared" si="17"/>
        <v>204.25</v>
      </c>
      <c r="AI97" s="10">
        <f t="shared" si="18"/>
        <v>204.25</v>
      </c>
      <c r="AJ97" s="10" t="s">
        <v>94</v>
      </c>
      <c r="AK97" s="10">
        <v>1</v>
      </c>
      <c r="AL97" s="3" t="s">
        <v>94</v>
      </c>
      <c r="AM97" s="3" t="s">
        <v>94</v>
      </c>
      <c r="AN97" s="3" t="s">
        <v>108</v>
      </c>
      <c r="AO97" s="3" t="s">
        <v>186</v>
      </c>
      <c r="AP97" s="3" t="s">
        <v>125</v>
      </c>
      <c r="AQ97" s="3">
        <v>0</v>
      </c>
      <c r="AR97" s="3">
        <v>0</v>
      </c>
      <c r="AS97" s="3" t="s">
        <v>92</v>
      </c>
      <c r="AT97" s="13" t="s">
        <v>94</v>
      </c>
      <c r="AU97" s="13" t="s">
        <v>94</v>
      </c>
      <c r="AV97" s="12">
        <f t="shared" si="19"/>
        <v>8.978844004609858E-2</v>
      </c>
      <c r="AW97" s="12" t="s">
        <v>94</v>
      </c>
      <c r="AX97" s="12">
        <v>0.200962</v>
      </c>
      <c r="AY97" s="12">
        <f t="shared" si="20"/>
        <v>-1.283221002024785</v>
      </c>
      <c r="AZ97" s="12">
        <f>(5*15.1)/21.79</f>
        <v>3.4648921523634697</v>
      </c>
      <c r="BA97" s="12">
        <f>(5*1.78)/22.56</f>
        <v>0.39450354609929084</v>
      </c>
      <c r="BB97" s="12">
        <f t="shared" si="21"/>
        <v>3.9867311190055159</v>
      </c>
      <c r="BC97" s="16">
        <v>102.125</v>
      </c>
      <c r="BD97" s="12">
        <f>(5*16.66)/21.79</f>
        <v>3.822854520422212</v>
      </c>
      <c r="BE97" s="12">
        <f>(5*1.78)/22.56</f>
        <v>0.39450354609929084</v>
      </c>
      <c r="BF97" s="12">
        <f t="shared" si="22"/>
        <v>3.9867311190055159</v>
      </c>
      <c r="BG97" s="16">
        <v>102.125</v>
      </c>
      <c r="BH97" s="12">
        <f t="shared" si="23"/>
        <v>3.9867311190055159</v>
      </c>
      <c r="BI97" s="10"/>
      <c r="BJ97" s="10"/>
      <c r="BK97" s="10"/>
      <c r="BL97" s="10"/>
      <c r="BM97" s="12" t="s">
        <v>94</v>
      </c>
      <c r="BN97" s="12" t="s">
        <v>94</v>
      </c>
      <c r="BO97" s="12" t="s">
        <v>94</v>
      </c>
      <c r="BP97" s="16" t="s">
        <v>94</v>
      </c>
      <c r="BQ97" s="16" t="s">
        <v>94</v>
      </c>
      <c r="BR97" s="16" t="s">
        <v>94</v>
      </c>
      <c r="BS97" s="3" t="s">
        <v>72</v>
      </c>
      <c r="BT97" s="3" t="s">
        <v>68</v>
      </c>
      <c r="BU97" s="3" t="s">
        <v>69</v>
      </c>
      <c r="BV97" s="3" t="s">
        <v>74</v>
      </c>
      <c r="BW97" s="3">
        <v>0</v>
      </c>
      <c r="BX97" s="3">
        <v>1</v>
      </c>
      <c r="BY97" s="3">
        <v>1</v>
      </c>
      <c r="BZ97" s="3">
        <v>0</v>
      </c>
      <c r="CA97" s="3">
        <v>0</v>
      </c>
      <c r="CB97" s="3">
        <v>1</v>
      </c>
      <c r="CC97" s="3">
        <v>0</v>
      </c>
      <c r="CD97" s="3">
        <v>1</v>
      </c>
      <c r="CE97" s="3">
        <v>0</v>
      </c>
      <c r="CF97" s="3">
        <v>0</v>
      </c>
      <c r="CH97" s="3">
        <v>1</v>
      </c>
      <c r="CI97">
        <v>0</v>
      </c>
      <c r="CJ97" s="5">
        <v>0</v>
      </c>
    </row>
    <row r="98" spans="1:88" x14ac:dyDescent="0.35">
      <c r="A98" s="3" t="s">
        <v>242</v>
      </c>
      <c r="B98" s="3">
        <v>1</v>
      </c>
      <c r="C98" s="3" t="s">
        <v>227</v>
      </c>
      <c r="D98" s="3">
        <v>0</v>
      </c>
      <c r="E98" s="3">
        <v>2016</v>
      </c>
      <c r="F98" s="3">
        <v>97</v>
      </c>
      <c r="G98" s="3">
        <v>5</v>
      </c>
      <c r="H98" s="3">
        <v>7</v>
      </c>
      <c r="I98" s="3">
        <v>47</v>
      </c>
      <c r="J98" s="3">
        <v>10</v>
      </c>
      <c r="K98" s="3">
        <v>20</v>
      </c>
      <c r="L98" s="3">
        <v>5</v>
      </c>
      <c r="M98" s="3" t="s">
        <v>277</v>
      </c>
      <c r="N98" s="3">
        <v>3</v>
      </c>
      <c r="O98" s="3" t="s">
        <v>243</v>
      </c>
      <c r="P98" s="3" t="s">
        <v>72</v>
      </c>
      <c r="Q98" s="3" t="s">
        <v>68</v>
      </c>
      <c r="R98" s="3" t="s">
        <v>69</v>
      </c>
      <c r="S98" s="3" t="s">
        <v>74</v>
      </c>
      <c r="T98" s="3">
        <v>0</v>
      </c>
      <c r="U98" s="3" t="s">
        <v>252</v>
      </c>
      <c r="V98" s="3" t="s">
        <v>82</v>
      </c>
      <c r="W98" s="3" t="s">
        <v>166</v>
      </c>
      <c r="X98" s="3">
        <v>1</v>
      </c>
      <c r="Y98" s="3">
        <v>0</v>
      </c>
      <c r="Z98" s="3" t="s">
        <v>84</v>
      </c>
      <c r="AA98" s="3" t="s">
        <v>127</v>
      </c>
      <c r="AB98" s="3">
        <v>0</v>
      </c>
      <c r="AC98" s="3" t="s">
        <v>86</v>
      </c>
      <c r="AD98" s="3" t="s">
        <v>87</v>
      </c>
      <c r="AE98" s="3">
        <v>0</v>
      </c>
      <c r="AF98" s="3" t="s">
        <v>88</v>
      </c>
      <c r="AG98" s="3" t="s">
        <v>88</v>
      </c>
      <c r="AH98" s="10">
        <f t="shared" si="17"/>
        <v>204.25</v>
      </c>
      <c r="AI98" s="10">
        <f t="shared" si="18"/>
        <v>204.25</v>
      </c>
      <c r="AJ98" s="10" t="s">
        <v>94</v>
      </c>
      <c r="AK98" s="10">
        <v>1</v>
      </c>
      <c r="AL98" s="3" t="s">
        <v>94</v>
      </c>
      <c r="AM98" s="3" t="s">
        <v>94</v>
      </c>
      <c r="AN98" s="3" t="s">
        <v>108</v>
      </c>
      <c r="AO98" s="3" t="s">
        <v>186</v>
      </c>
      <c r="AP98" s="3" t="s">
        <v>125</v>
      </c>
      <c r="AQ98" s="3">
        <v>1</v>
      </c>
      <c r="AR98" s="3">
        <v>0</v>
      </c>
      <c r="AS98" s="3" t="s">
        <v>92</v>
      </c>
      <c r="AT98" s="13" t="s">
        <v>94</v>
      </c>
      <c r="AU98" s="13" t="s">
        <v>94</v>
      </c>
      <c r="AV98" s="12">
        <f t="shared" si="19"/>
        <v>0.21927783688535354</v>
      </c>
      <c r="AW98" s="12" t="s">
        <v>94</v>
      </c>
      <c r="AX98" s="12">
        <v>1.9810000000000001E-3</v>
      </c>
      <c r="AY98" s="12">
        <f t="shared" si="20"/>
        <v>-3.1338324335001864</v>
      </c>
      <c r="AZ98" s="12">
        <f>(5*17.88)/22.69</f>
        <v>3.940061701189951</v>
      </c>
      <c r="BA98" s="12">
        <f>(5*1.85)/25.14</f>
        <v>0.36793953858392997</v>
      </c>
      <c r="BB98" s="12">
        <f t="shared" si="21"/>
        <v>3.7182834549626405</v>
      </c>
      <c r="BC98" s="16">
        <v>102.125</v>
      </c>
      <c r="BD98" s="12">
        <f>(5*21.58)/22.69</f>
        <v>4.7553988541207577</v>
      </c>
      <c r="BE98" s="12">
        <f>(5*1.85)/25.14</f>
        <v>0.36793953858392997</v>
      </c>
      <c r="BF98" s="12">
        <f t="shared" si="22"/>
        <v>3.7182834549626405</v>
      </c>
      <c r="BG98" s="16">
        <v>102.125</v>
      </c>
      <c r="BH98" s="12">
        <f t="shared" si="23"/>
        <v>3.7182834549626405</v>
      </c>
      <c r="BI98" s="10"/>
      <c r="BJ98" s="10"/>
      <c r="BK98" s="10"/>
      <c r="BL98" s="10"/>
      <c r="BM98" s="12" t="s">
        <v>94</v>
      </c>
      <c r="BN98" s="12" t="s">
        <v>94</v>
      </c>
      <c r="BO98" s="12" t="s">
        <v>94</v>
      </c>
      <c r="BP98" s="16" t="s">
        <v>94</v>
      </c>
      <c r="BQ98" s="16" t="s">
        <v>94</v>
      </c>
      <c r="BR98" s="16" t="s">
        <v>94</v>
      </c>
      <c r="BS98" s="3" t="s">
        <v>72</v>
      </c>
      <c r="BT98" s="3" t="s">
        <v>68</v>
      </c>
      <c r="BU98" s="3" t="s">
        <v>69</v>
      </c>
      <c r="BV98" s="3" t="s">
        <v>74</v>
      </c>
      <c r="BW98" s="3">
        <v>0</v>
      </c>
      <c r="BX98" s="3">
        <v>1</v>
      </c>
      <c r="BY98" s="3">
        <v>1</v>
      </c>
      <c r="BZ98" s="3">
        <v>0</v>
      </c>
      <c r="CA98" s="3">
        <v>0</v>
      </c>
      <c r="CB98" s="3">
        <v>1</v>
      </c>
      <c r="CC98" s="3">
        <v>0</v>
      </c>
      <c r="CD98" s="3">
        <v>1</v>
      </c>
      <c r="CE98" s="3">
        <v>0</v>
      </c>
      <c r="CF98" s="3">
        <v>0</v>
      </c>
      <c r="CH98" s="3">
        <v>1</v>
      </c>
      <c r="CI98">
        <v>0</v>
      </c>
      <c r="CJ98" s="5">
        <v>0</v>
      </c>
    </row>
    <row r="99" spans="1:88" x14ac:dyDescent="0.35">
      <c r="A99" s="3" t="s">
        <v>242</v>
      </c>
      <c r="B99" s="3">
        <v>1</v>
      </c>
      <c r="C99" s="3" t="s">
        <v>227</v>
      </c>
      <c r="D99" s="3">
        <v>0</v>
      </c>
      <c r="E99" s="3">
        <v>2016</v>
      </c>
      <c r="F99" s="3">
        <v>98</v>
      </c>
      <c r="G99" s="3">
        <v>5</v>
      </c>
      <c r="H99" s="3">
        <v>7</v>
      </c>
      <c r="I99" s="3">
        <v>48</v>
      </c>
      <c r="J99" s="3">
        <v>9</v>
      </c>
      <c r="K99" s="3">
        <v>20</v>
      </c>
      <c r="L99" s="3">
        <v>5</v>
      </c>
      <c r="M99" s="3" t="s">
        <v>277</v>
      </c>
      <c r="N99" s="3">
        <v>3</v>
      </c>
      <c r="O99" s="3" t="s">
        <v>243</v>
      </c>
      <c r="P99" s="3" t="s">
        <v>72</v>
      </c>
      <c r="Q99" s="3" t="s">
        <v>68</v>
      </c>
      <c r="R99" s="3" t="s">
        <v>69</v>
      </c>
      <c r="S99" s="3" t="s">
        <v>74</v>
      </c>
      <c r="T99" s="3">
        <v>0</v>
      </c>
      <c r="U99" s="3" t="s">
        <v>246</v>
      </c>
      <c r="V99" s="3" t="s">
        <v>97</v>
      </c>
      <c r="W99" s="3" t="s">
        <v>97</v>
      </c>
      <c r="X99" s="3">
        <v>1</v>
      </c>
      <c r="Y99" s="3">
        <v>0</v>
      </c>
      <c r="Z99" s="3" t="s">
        <v>84</v>
      </c>
      <c r="AA99" s="3" t="s">
        <v>127</v>
      </c>
      <c r="AB99" s="3">
        <v>1</v>
      </c>
      <c r="AC99" s="3" t="s">
        <v>86</v>
      </c>
      <c r="AD99" s="3" t="s">
        <v>87</v>
      </c>
      <c r="AE99" s="3">
        <v>0</v>
      </c>
      <c r="AF99" s="3" t="s">
        <v>88</v>
      </c>
      <c r="AG99" s="3" t="s">
        <v>88</v>
      </c>
      <c r="AH99" s="10">
        <f t="shared" si="17"/>
        <v>204.25</v>
      </c>
      <c r="AI99" s="10">
        <f t="shared" si="18"/>
        <v>204.25</v>
      </c>
      <c r="AJ99" s="10" t="s">
        <v>94</v>
      </c>
      <c r="AK99" s="10">
        <v>0</v>
      </c>
      <c r="AL99" s="3" t="s">
        <v>94</v>
      </c>
      <c r="AM99" s="3" t="s">
        <v>94</v>
      </c>
      <c r="AN99" s="3" t="s">
        <v>108</v>
      </c>
      <c r="AO99" s="3" t="s">
        <v>186</v>
      </c>
      <c r="AP99" s="3" t="s">
        <v>125</v>
      </c>
      <c r="AQ99" s="3">
        <v>0</v>
      </c>
      <c r="AR99" s="3">
        <v>0</v>
      </c>
      <c r="AS99" s="3" t="s">
        <v>92</v>
      </c>
      <c r="AT99" s="13" t="s">
        <v>94</v>
      </c>
      <c r="AU99" s="13" t="s">
        <v>94</v>
      </c>
      <c r="AV99" s="12">
        <f t="shared" si="19"/>
        <v>-2.830325396995358E-2</v>
      </c>
      <c r="AW99" s="12" t="s">
        <v>94</v>
      </c>
      <c r="AX99" s="12">
        <v>0.70360400000000001</v>
      </c>
      <c r="AY99" s="12">
        <f t="shared" si="20"/>
        <v>0.40449895221744553</v>
      </c>
      <c r="AZ99" s="12">
        <v>6.11</v>
      </c>
      <c r="BA99" s="12">
        <f>(10*1.67)/25.14</f>
        <v>0.66428003182179785</v>
      </c>
      <c r="BB99" s="12">
        <f t="shared" si="21"/>
        <v>6.7130090484190363</v>
      </c>
      <c r="BC99" s="16">
        <v>102.125</v>
      </c>
      <c r="BD99" s="12">
        <v>5.92</v>
      </c>
      <c r="BE99" s="12">
        <f>(10*1.67)/25.14</f>
        <v>0.66428003182179785</v>
      </c>
      <c r="BF99" s="12">
        <f t="shared" si="22"/>
        <v>6.7130090484190363</v>
      </c>
      <c r="BG99" s="16">
        <v>102.125</v>
      </c>
      <c r="BH99" s="12">
        <f t="shared" si="23"/>
        <v>6.7130090484190363</v>
      </c>
      <c r="BI99" s="10"/>
      <c r="BJ99" s="10"/>
      <c r="BK99" s="10"/>
      <c r="BL99" s="10"/>
      <c r="BM99" s="12" t="s">
        <v>94</v>
      </c>
      <c r="BN99" s="12" t="s">
        <v>94</v>
      </c>
      <c r="BO99" s="12" t="s">
        <v>94</v>
      </c>
      <c r="BP99" s="16" t="s">
        <v>94</v>
      </c>
      <c r="BQ99" s="16" t="s">
        <v>94</v>
      </c>
      <c r="BR99" s="16" t="s">
        <v>94</v>
      </c>
      <c r="BS99" s="3" t="s">
        <v>72</v>
      </c>
      <c r="BT99" s="3" t="s">
        <v>68</v>
      </c>
      <c r="BU99" s="3" t="s">
        <v>69</v>
      </c>
      <c r="BV99" s="3" t="s">
        <v>74</v>
      </c>
      <c r="BW99" s="3">
        <v>0</v>
      </c>
      <c r="BX99" s="3">
        <v>1</v>
      </c>
      <c r="BY99" s="3">
        <v>1</v>
      </c>
      <c r="BZ99" s="3">
        <v>0</v>
      </c>
      <c r="CA99" s="3">
        <v>0</v>
      </c>
      <c r="CB99" s="3">
        <v>1</v>
      </c>
      <c r="CC99" s="3">
        <v>0</v>
      </c>
      <c r="CD99" s="3">
        <v>1</v>
      </c>
      <c r="CE99" s="3">
        <v>0</v>
      </c>
      <c r="CF99" s="3">
        <v>0</v>
      </c>
      <c r="CH99" s="3">
        <v>1</v>
      </c>
      <c r="CI99">
        <v>0</v>
      </c>
      <c r="CJ99" s="5">
        <v>0</v>
      </c>
    </row>
    <row r="100" spans="1:88" x14ac:dyDescent="0.35">
      <c r="A100" s="3" t="s">
        <v>242</v>
      </c>
      <c r="B100" s="3">
        <v>1</v>
      </c>
      <c r="C100" s="3" t="s">
        <v>227</v>
      </c>
      <c r="D100" s="3">
        <v>0</v>
      </c>
      <c r="E100" s="3">
        <v>2016</v>
      </c>
      <c r="F100" s="3">
        <v>99</v>
      </c>
      <c r="G100" s="3">
        <v>5</v>
      </c>
      <c r="H100" s="3">
        <v>7</v>
      </c>
      <c r="I100" s="3">
        <v>48</v>
      </c>
      <c r="J100" s="3">
        <v>10</v>
      </c>
      <c r="K100" s="3">
        <v>20</v>
      </c>
      <c r="L100" s="3">
        <v>5</v>
      </c>
      <c r="M100" s="3" t="s">
        <v>277</v>
      </c>
      <c r="N100" s="3">
        <v>3</v>
      </c>
      <c r="O100" s="3" t="s">
        <v>243</v>
      </c>
      <c r="P100" s="3" t="s">
        <v>72</v>
      </c>
      <c r="Q100" s="3" t="s">
        <v>68</v>
      </c>
      <c r="R100" s="3" t="s">
        <v>69</v>
      </c>
      <c r="S100" s="3" t="s">
        <v>74</v>
      </c>
      <c r="T100" s="3">
        <v>0</v>
      </c>
      <c r="U100" s="3" t="s">
        <v>251</v>
      </c>
      <c r="V100" s="3" t="s">
        <v>82</v>
      </c>
      <c r="W100" s="3" t="s">
        <v>166</v>
      </c>
      <c r="X100" s="3">
        <v>1</v>
      </c>
      <c r="Y100" s="3">
        <v>0</v>
      </c>
      <c r="Z100" s="3" t="s">
        <v>84</v>
      </c>
      <c r="AA100" s="3" t="s">
        <v>127</v>
      </c>
      <c r="AB100" s="3">
        <v>0</v>
      </c>
      <c r="AC100" s="3" t="s">
        <v>86</v>
      </c>
      <c r="AD100" s="3" t="s">
        <v>87</v>
      </c>
      <c r="AE100" s="3">
        <v>0</v>
      </c>
      <c r="AF100" s="3" t="s">
        <v>88</v>
      </c>
      <c r="AG100" s="3" t="s">
        <v>88</v>
      </c>
      <c r="AH100" s="10">
        <f t="shared" si="17"/>
        <v>204.25</v>
      </c>
      <c r="AI100" s="10">
        <f t="shared" si="18"/>
        <v>204.25</v>
      </c>
      <c r="AJ100" s="10" t="s">
        <v>94</v>
      </c>
      <c r="AK100" s="10">
        <v>1</v>
      </c>
      <c r="AL100" s="3" t="s">
        <v>94</v>
      </c>
      <c r="AM100" s="3" t="s">
        <v>94</v>
      </c>
      <c r="AN100" s="3" t="s">
        <v>108</v>
      </c>
      <c r="AO100" s="3" t="s">
        <v>186</v>
      </c>
      <c r="AP100" s="3" t="s">
        <v>125</v>
      </c>
      <c r="AQ100" s="3">
        <v>1</v>
      </c>
      <c r="AR100" s="3">
        <v>0</v>
      </c>
      <c r="AS100" s="3" t="s">
        <v>92</v>
      </c>
      <c r="AT100" s="13" t="s">
        <v>94</v>
      </c>
      <c r="AU100" s="13" t="s">
        <v>94</v>
      </c>
      <c r="AV100" s="12">
        <f t="shared" si="19"/>
        <v>0.20272916495256035</v>
      </c>
      <c r="AW100" s="12" t="s">
        <v>94</v>
      </c>
      <c r="AX100" s="12">
        <v>4.1830000000000001E-3</v>
      </c>
      <c r="AY100" s="12">
        <f t="shared" si="20"/>
        <v>-2.897325335605673</v>
      </c>
      <c r="AZ100" s="12">
        <f>(5*21.51)/22.69</f>
        <v>4.7399735566328784</v>
      </c>
      <c r="BA100" s="12">
        <f>(5*1.81)/25.14</f>
        <v>0.35998408910103424</v>
      </c>
      <c r="BB100" s="12">
        <f t="shared" si="21"/>
        <v>3.6378881370175029</v>
      </c>
      <c r="BC100" s="16">
        <v>102.125</v>
      </c>
      <c r="BD100" s="12">
        <f>(5*24.96)/22.69</f>
        <v>5.5002203613926843</v>
      </c>
      <c r="BE100" s="12">
        <f>(5*1.92)/25.14</f>
        <v>0.3818615751789976</v>
      </c>
      <c r="BF100" s="12">
        <f t="shared" si="22"/>
        <v>3.8589752613666324</v>
      </c>
      <c r="BG100" s="16">
        <v>102.125</v>
      </c>
      <c r="BH100" s="12">
        <f t="shared" si="23"/>
        <v>3.7500613438510806</v>
      </c>
      <c r="BI100" s="10"/>
      <c r="BJ100" s="10"/>
      <c r="BK100" s="10"/>
      <c r="BL100" s="10"/>
      <c r="BM100" s="12" t="s">
        <v>94</v>
      </c>
      <c r="BN100" s="12" t="s">
        <v>94</v>
      </c>
      <c r="BO100" s="12" t="s">
        <v>94</v>
      </c>
      <c r="BP100" s="16" t="s">
        <v>94</v>
      </c>
      <c r="BQ100" s="16" t="s">
        <v>94</v>
      </c>
      <c r="BR100" s="16" t="s">
        <v>94</v>
      </c>
      <c r="BS100" s="3" t="s">
        <v>72</v>
      </c>
      <c r="BT100" s="3" t="s">
        <v>68</v>
      </c>
      <c r="BU100" s="3" t="s">
        <v>69</v>
      </c>
      <c r="BV100" s="3" t="s">
        <v>74</v>
      </c>
      <c r="BW100" s="3">
        <v>0</v>
      </c>
      <c r="BX100" s="3">
        <v>1</v>
      </c>
      <c r="BY100" s="3">
        <v>1</v>
      </c>
      <c r="BZ100" s="3">
        <v>0</v>
      </c>
      <c r="CA100" s="3">
        <v>0</v>
      </c>
      <c r="CB100" s="3">
        <v>1</v>
      </c>
      <c r="CC100" s="3">
        <v>0</v>
      </c>
      <c r="CD100" s="3">
        <v>1</v>
      </c>
      <c r="CE100" s="3">
        <v>0</v>
      </c>
      <c r="CF100" s="3">
        <v>0</v>
      </c>
      <c r="CH100" s="3">
        <v>1</v>
      </c>
      <c r="CI100">
        <v>0</v>
      </c>
      <c r="CJ100" s="5">
        <v>0</v>
      </c>
    </row>
    <row r="101" spans="1:88" x14ac:dyDescent="0.35">
      <c r="A101" s="3" t="s">
        <v>242</v>
      </c>
      <c r="B101" s="3">
        <v>1</v>
      </c>
      <c r="C101" s="3" t="s">
        <v>227</v>
      </c>
      <c r="D101" s="3">
        <v>0</v>
      </c>
      <c r="E101" s="3">
        <v>2016</v>
      </c>
      <c r="F101" s="3">
        <v>100</v>
      </c>
      <c r="G101" s="3">
        <v>5</v>
      </c>
      <c r="H101" s="3">
        <v>7</v>
      </c>
      <c r="I101" s="3">
        <v>48</v>
      </c>
      <c r="J101" s="3">
        <v>11</v>
      </c>
      <c r="K101" s="3">
        <v>20</v>
      </c>
      <c r="L101" s="3">
        <v>5</v>
      </c>
      <c r="M101" s="3" t="s">
        <v>277</v>
      </c>
      <c r="N101" s="3">
        <v>3</v>
      </c>
      <c r="O101" s="3" t="s">
        <v>243</v>
      </c>
      <c r="P101" s="3" t="s">
        <v>72</v>
      </c>
      <c r="Q101" s="3" t="s">
        <v>68</v>
      </c>
      <c r="R101" s="3" t="s">
        <v>69</v>
      </c>
      <c r="S101" s="3" t="s">
        <v>74</v>
      </c>
      <c r="T101" s="3">
        <v>0</v>
      </c>
      <c r="U101" s="3" t="s">
        <v>253</v>
      </c>
      <c r="V101" s="3" t="s">
        <v>82</v>
      </c>
      <c r="W101" s="3" t="s">
        <v>177</v>
      </c>
      <c r="X101" s="3">
        <v>1</v>
      </c>
      <c r="Y101" s="3">
        <v>0</v>
      </c>
      <c r="Z101" s="3" t="s">
        <v>84</v>
      </c>
      <c r="AA101" s="3" t="s">
        <v>127</v>
      </c>
      <c r="AB101" s="3">
        <v>0</v>
      </c>
      <c r="AC101" s="3" t="s">
        <v>86</v>
      </c>
      <c r="AD101" s="3" t="s">
        <v>87</v>
      </c>
      <c r="AE101" s="3">
        <v>0</v>
      </c>
      <c r="AF101" s="3" t="s">
        <v>88</v>
      </c>
      <c r="AG101" s="3" t="s">
        <v>88</v>
      </c>
      <c r="AH101" s="10">
        <f t="shared" si="17"/>
        <v>204.25</v>
      </c>
      <c r="AI101" s="10">
        <f t="shared" si="18"/>
        <v>204.25</v>
      </c>
      <c r="AJ101" s="10" t="s">
        <v>94</v>
      </c>
      <c r="AK101" s="10">
        <v>1</v>
      </c>
      <c r="AL101" s="3" t="s">
        <v>94</v>
      </c>
      <c r="AM101" s="3" t="s">
        <v>94</v>
      </c>
      <c r="AN101" s="3" t="s">
        <v>108</v>
      </c>
      <c r="AO101" s="3" t="s">
        <v>186</v>
      </c>
      <c r="AP101" s="3" t="s">
        <v>125</v>
      </c>
      <c r="AQ101" s="3">
        <v>1</v>
      </c>
      <c r="AR101" s="3">
        <v>0</v>
      </c>
      <c r="AS101" s="3" t="s">
        <v>92</v>
      </c>
      <c r="AT101" s="13" t="s">
        <v>94</v>
      </c>
      <c r="AU101" s="13" t="s">
        <v>94</v>
      </c>
      <c r="AV101" s="12">
        <f t="shared" si="19"/>
        <v>0.29480087303052893</v>
      </c>
      <c r="AW101" s="12" t="s">
        <v>94</v>
      </c>
      <c r="AX101" s="12">
        <v>3.8000000000000002E-5</v>
      </c>
      <c r="AY101" s="12">
        <f t="shared" si="20"/>
        <v>-4.2131779045698448</v>
      </c>
      <c r="AZ101" s="12">
        <f>(5*19.07)/22.56</f>
        <v>4.2265070921985819</v>
      </c>
      <c r="BA101" s="12">
        <f>(5*1.92)/22.56</f>
        <v>0.42553191489361702</v>
      </c>
      <c r="BB101" s="12">
        <f t="shared" si="21"/>
        <v>4.3002942407250506</v>
      </c>
      <c r="BC101" s="16">
        <v>102.125</v>
      </c>
      <c r="BD101" s="12">
        <f>(5*24.79)/22.56</f>
        <v>5.4942375886524824</v>
      </c>
      <c r="BE101" s="12">
        <f>(5*1.92)/22.56</f>
        <v>0.42553191489361702</v>
      </c>
      <c r="BF101" s="12">
        <f t="shared" si="22"/>
        <v>4.3002942407250506</v>
      </c>
      <c r="BG101" s="16">
        <v>102.125</v>
      </c>
      <c r="BH101" s="12">
        <f t="shared" si="23"/>
        <v>4.3002942407250506</v>
      </c>
      <c r="BI101" s="10"/>
      <c r="BJ101" s="10"/>
      <c r="BK101" s="10"/>
      <c r="BL101" s="10"/>
      <c r="BM101" s="12" t="s">
        <v>94</v>
      </c>
      <c r="BN101" s="12" t="s">
        <v>94</v>
      </c>
      <c r="BO101" s="12" t="s">
        <v>94</v>
      </c>
      <c r="BP101" s="16" t="s">
        <v>94</v>
      </c>
      <c r="BQ101" s="16" t="s">
        <v>94</v>
      </c>
      <c r="BR101" s="16" t="s">
        <v>94</v>
      </c>
      <c r="BS101" s="3" t="s">
        <v>72</v>
      </c>
      <c r="BT101" s="3" t="s">
        <v>68</v>
      </c>
      <c r="BU101" s="3" t="s">
        <v>69</v>
      </c>
      <c r="BV101" s="3" t="s">
        <v>74</v>
      </c>
      <c r="BW101" s="3">
        <v>0</v>
      </c>
      <c r="BX101" s="3">
        <v>1</v>
      </c>
      <c r="BY101" s="3">
        <v>1</v>
      </c>
      <c r="BZ101" s="3">
        <v>0</v>
      </c>
      <c r="CA101" s="3">
        <v>0</v>
      </c>
      <c r="CB101" s="3">
        <v>1</v>
      </c>
      <c r="CC101" s="3">
        <v>0</v>
      </c>
      <c r="CD101" s="3">
        <v>1</v>
      </c>
      <c r="CE101" s="3">
        <v>0</v>
      </c>
      <c r="CF101" s="3">
        <v>0</v>
      </c>
      <c r="CH101" s="3">
        <v>1</v>
      </c>
      <c r="CI101">
        <v>0</v>
      </c>
      <c r="CJ101" s="5">
        <v>0</v>
      </c>
    </row>
    <row r="102" spans="1:88" x14ac:dyDescent="0.35">
      <c r="A102" s="3" t="s">
        <v>242</v>
      </c>
      <c r="B102" s="3">
        <v>1</v>
      </c>
      <c r="C102" s="3" t="s">
        <v>227</v>
      </c>
      <c r="D102" s="3">
        <v>0</v>
      </c>
      <c r="E102" s="3">
        <v>2016</v>
      </c>
      <c r="F102" s="3">
        <v>101</v>
      </c>
      <c r="G102" s="3">
        <v>5</v>
      </c>
      <c r="H102" s="3">
        <v>7</v>
      </c>
      <c r="I102" s="3">
        <v>49</v>
      </c>
      <c r="J102" s="3">
        <v>9</v>
      </c>
      <c r="K102" s="3">
        <v>20</v>
      </c>
      <c r="L102" s="3">
        <v>5</v>
      </c>
      <c r="M102" s="3" t="s">
        <v>277</v>
      </c>
      <c r="N102" s="3">
        <v>3</v>
      </c>
      <c r="O102" s="3" t="s">
        <v>243</v>
      </c>
      <c r="P102" s="3" t="s">
        <v>72</v>
      </c>
      <c r="Q102" s="3" t="s">
        <v>68</v>
      </c>
      <c r="R102" s="3" t="s">
        <v>69</v>
      </c>
      <c r="S102" s="3" t="s">
        <v>74</v>
      </c>
      <c r="T102" s="3">
        <v>0</v>
      </c>
      <c r="U102" s="3" t="s">
        <v>246</v>
      </c>
      <c r="V102" s="3" t="s">
        <v>97</v>
      </c>
      <c r="W102" s="3" t="s">
        <v>97</v>
      </c>
      <c r="X102" s="3">
        <v>1</v>
      </c>
      <c r="Y102" s="3">
        <v>0</v>
      </c>
      <c r="Z102" s="3" t="s">
        <v>84</v>
      </c>
      <c r="AA102" s="3" t="s">
        <v>85</v>
      </c>
      <c r="AB102" s="3" t="s">
        <v>94</v>
      </c>
      <c r="AC102" s="3" t="s">
        <v>86</v>
      </c>
      <c r="AD102" s="3" t="s">
        <v>87</v>
      </c>
      <c r="AE102" s="3">
        <v>0</v>
      </c>
      <c r="AF102" s="3" t="s">
        <v>88</v>
      </c>
      <c r="AG102" s="3" t="s">
        <v>88</v>
      </c>
      <c r="AH102" s="10">
        <f t="shared" si="17"/>
        <v>204.25</v>
      </c>
      <c r="AI102" s="10">
        <f t="shared" si="18"/>
        <v>204.25</v>
      </c>
      <c r="AJ102" s="10" t="s">
        <v>94</v>
      </c>
      <c r="AK102" s="10">
        <v>0</v>
      </c>
      <c r="AL102" s="3" t="s">
        <v>94</v>
      </c>
      <c r="AM102" s="3" t="s">
        <v>94</v>
      </c>
      <c r="AN102" s="3" t="s">
        <v>108</v>
      </c>
      <c r="AO102" s="3" t="s">
        <v>186</v>
      </c>
      <c r="AP102" s="3" t="s">
        <v>125</v>
      </c>
      <c r="AQ102" s="3">
        <v>0</v>
      </c>
      <c r="AR102" s="3">
        <v>0</v>
      </c>
      <c r="AS102" s="3" t="s">
        <v>92</v>
      </c>
      <c r="AT102" s="13" t="s">
        <v>94</v>
      </c>
      <c r="AU102" s="13" t="s">
        <v>94</v>
      </c>
      <c r="AV102" s="12">
        <f t="shared" si="19"/>
        <v>-6.1075442777268146E-2</v>
      </c>
      <c r="AW102" s="12" t="s">
        <v>94</v>
      </c>
      <c r="AX102" s="12">
        <v>0.37506099999999998</v>
      </c>
      <c r="AY102" s="12">
        <f t="shared" si="20"/>
        <v>0.87286616004817041</v>
      </c>
      <c r="AZ102" s="12">
        <v>12.01</v>
      </c>
      <c r="BA102" s="12">
        <f>(10*1.67)/25.14</f>
        <v>0.66428003182179785</v>
      </c>
      <c r="BB102" s="12">
        <f t="shared" si="21"/>
        <v>6.7130090484190363</v>
      </c>
      <c r="BC102" s="16">
        <v>102.125</v>
      </c>
      <c r="BD102" s="12">
        <v>11.6</v>
      </c>
      <c r="BE102" s="12">
        <f>(10*1.67)/25.14</f>
        <v>0.66428003182179785</v>
      </c>
      <c r="BF102" s="12">
        <f t="shared" si="22"/>
        <v>6.7130090484190363</v>
      </c>
      <c r="BG102" s="16">
        <v>102.125</v>
      </c>
      <c r="BH102" s="12">
        <f t="shared" si="23"/>
        <v>6.7130090484190363</v>
      </c>
      <c r="BI102" s="10"/>
      <c r="BJ102" s="10"/>
      <c r="BK102" s="10"/>
      <c r="BL102" s="10"/>
      <c r="BM102" s="12" t="s">
        <v>94</v>
      </c>
      <c r="BN102" s="12" t="s">
        <v>94</v>
      </c>
      <c r="BO102" s="12" t="s">
        <v>94</v>
      </c>
      <c r="BP102" s="16" t="s">
        <v>94</v>
      </c>
      <c r="BQ102" s="16" t="s">
        <v>94</v>
      </c>
      <c r="BR102" s="16" t="s">
        <v>94</v>
      </c>
      <c r="BS102" s="3" t="s">
        <v>72</v>
      </c>
      <c r="BT102" s="3" t="s">
        <v>68</v>
      </c>
      <c r="BU102" s="3" t="s">
        <v>69</v>
      </c>
      <c r="BV102" s="3" t="s">
        <v>74</v>
      </c>
      <c r="BW102" s="3">
        <v>0</v>
      </c>
      <c r="BX102" s="3">
        <v>1</v>
      </c>
      <c r="BY102" s="3">
        <v>1</v>
      </c>
      <c r="BZ102" s="3">
        <v>0</v>
      </c>
      <c r="CA102" s="3">
        <v>0</v>
      </c>
      <c r="CB102" s="3">
        <v>1</v>
      </c>
      <c r="CC102" s="3">
        <v>0</v>
      </c>
      <c r="CD102" s="3">
        <v>1</v>
      </c>
      <c r="CE102" s="3">
        <v>0</v>
      </c>
      <c r="CF102" s="3">
        <v>0</v>
      </c>
      <c r="CH102" s="3">
        <v>1</v>
      </c>
      <c r="CI102">
        <v>0</v>
      </c>
      <c r="CJ102" s="5">
        <v>0</v>
      </c>
    </row>
    <row r="103" spans="1:88" x14ac:dyDescent="0.35">
      <c r="A103" s="3" t="s">
        <v>242</v>
      </c>
      <c r="B103" s="3">
        <v>1</v>
      </c>
      <c r="C103" s="3" t="s">
        <v>227</v>
      </c>
      <c r="D103" s="3">
        <v>0</v>
      </c>
      <c r="E103" s="3">
        <v>2016</v>
      </c>
      <c r="F103" s="3">
        <v>102</v>
      </c>
      <c r="G103" s="3">
        <v>5</v>
      </c>
      <c r="H103" s="3">
        <v>7</v>
      </c>
      <c r="I103" s="3">
        <v>49</v>
      </c>
      <c r="J103" s="3">
        <v>10</v>
      </c>
      <c r="K103" s="3">
        <v>20</v>
      </c>
      <c r="L103" s="3">
        <v>5</v>
      </c>
      <c r="M103" s="3" t="s">
        <v>277</v>
      </c>
      <c r="N103" s="3">
        <v>3</v>
      </c>
      <c r="O103" s="3" t="s">
        <v>243</v>
      </c>
      <c r="P103" s="3" t="s">
        <v>72</v>
      </c>
      <c r="Q103" s="3" t="s">
        <v>68</v>
      </c>
      <c r="R103" s="3" t="s">
        <v>69</v>
      </c>
      <c r="S103" s="3" t="s">
        <v>74</v>
      </c>
      <c r="T103" s="3">
        <v>0</v>
      </c>
      <c r="U103" s="3" t="s">
        <v>251</v>
      </c>
      <c r="V103" s="3" t="s">
        <v>82</v>
      </c>
      <c r="W103" s="3" t="s">
        <v>166</v>
      </c>
      <c r="X103" s="3">
        <v>1</v>
      </c>
      <c r="Y103" s="3">
        <v>0</v>
      </c>
      <c r="Z103" s="3" t="s">
        <v>84</v>
      </c>
      <c r="AA103" s="3" t="s">
        <v>85</v>
      </c>
      <c r="AB103" s="3" t="s">
        <v>94</v>
      </c>
      <c r="AC103" s="3" t="s">
        <v>86</v>
      </c>
      <c r="AD103" s="3" t="s">
        <v>87</v>
      </c>
      <c r="AE103" s="3">
        <v>0</v>
      </c>
      <c r="AF103" s="3" t="s">
        <v>88</v>
      </c>
      <c r="AG103" s="3" t="s">
        <v>88</v>
      </c>
      <c r="AH103" s="10">
        <f t="shared" si="17"/>
        <v>204.25</v>
      </c>
      <c r="AI103" s="10">
        <f t="shared" si="18"/>
        <v>204.25</v>
      </c>
      <c r="AJ103" s="10" t="s">
        <v>94</v>
      </c>
      <c r="AK103" s="10">
        <v>1</v>
      </c>
      <c r="AL103" s="3" t="s">
        <v>94</v>
      </c>
      <c r="AM103" s="3" t="s">
        <v>94</v>
      </c>
      <c r="AN103" s="3" t="s">
        <v>108</v>
      </c>
      <c r="AO103" s="3" t="s">
        <v>186</v>
      </c>
      <c r="AP103" s="3" t="s">
        <v>125</v>
      </c>
      <c r="AQ103" s="3">
        <v>1</v>
      </c>
      <c r="AR103" s="3">
        <v>0</v>
      </c>
      <c r="AS103" s="3" t="s">
        <v>92</v>
      </c>
      <c r="AT103" s="13" t="s">
        <v>94</v>
      </c>
      <c r="AU103" s="13" t="s">
        <v>94</v>
      </c>
      <c r="AV103" s="12">
        <f t="shared" si="19"/>
        <v>0.14961144079156918</v>
      </c>
      <c r="AW103" s="12" t="s">
        <v>94</v>
      </c>
      <c r="AX103" s="12">
        <v>3.3717999999999998E-2</v>
      </c>
      <c r="AY103" s="12">
        <f t="shared" si="20"/>
        <v>-2.1381877541068954</v>
      </c>
      <c r="AZ103" s="12">
        <f>(5*20.95)/22.69</f>
        <v>4.6165711767298365</v>
      </c>
      <c r="BA103" s="12">
        <f>(5*1.92)/25.14</f>
        <v>0.3818615751789976</v>
      </c>
      <c r="BB103" s="12">
        <f t="shared" si="21"/>
        <v>3.8589752613666324</v>
      </c>
      <c r="BC103" s="16">
        <v>102.125</v>
      </c>
      <c r="BD103" s="12">
        <f>(5*23.57)/22.69</f>
        <v>5.1939180255619206</v>
      </c>
      <c r="BE103" s="12">
        <f>(5*1.92)/25.14</f>
        <v>0.3818615751789976</v>
      </c>
      <c r="BF103" s="12">
        <f t="shared" si="22"/>
        <v>3.8589752613666324</v>
      </c>
      <c r="BG103" s="16">
        <v>102.125</v>
      </c>
      <c r="BH103" s="12">
        <f t="shared" si="23"/>
        <v>3.8589752613666324</v>
      </c>
      <c r="BI103" s="10"/>
      <c r="BJ103" s="10"/>
      <c r="BK103" s="10"/>
      <c r="BL103" s="10"/>
      <c r="BM103" s="12" t="s">
        <v>94</v>
      </c>
      <c r="BN103" s="12" t="s">
        <v>94</v>
      </c>
      <c r="BO103" s="12" t="s">
        <v>94</v>
      </c>
      <c r="BP103" s="16" t="s">
        <v>94</v>
      </c>
      <c r="BQ103" s="16" t="s">
        <v>94</v>
      </c>
      <c r="BR103" s="16" t="s">
        <v>94</v>
      </c>
      <c r="BS103" s="3" t="s">
        <v>72</v>
      </c>
      <c r="BT103" s="3" t="s">
        <v>68</v>
      </c>
      <c r="BU103" s="3" t="s">
        <v>69</v>
      </c>
      <c r="BV103" s="3" t="s">
        <v>74</v>
      </c>
      <c r="BW103" s="3">
        <v>0</v>
      </c>
      <c r="BX103" s="3">
        <v>1</v>
      </c>
      <c r="BY103" s="3">
        <v>1</v>
      </c>
      <c r="BZ103" s="3">
        <v>0</v>
      </c>
      <c r="CA103" s="3">
        <v>0</v>
      </c>
      <c r="CB103" s="3">
        <v>1</v>
      </c>
      <c r="CC103" s="3">
        <v>0</v>
      </c>
      <c r="CD103" s="3">
        <v>1</v>
      </c>
      <c r="CE103" s="3">
        <v>0</v>
      </c>
      <c r="CF103" s="3">
        <v>0</v>
      </c>
      <c r="CH103" s="3">
        <v>1</v>
      </c>
      <c r="CI103">
        <v>0</v>
      </c>
      <c r="CJ103" s="5">
        <v>0</v>
      </c>
    </row>
    <row r="104" spans="1:88" x14ac:dyDescent="0.35">
      <c r="A104" s="3" t="s">
        <v>242</v>
      </c>
      <c r="B104" s="3">
        <v>1</v>
      </c>
      <c r="C104" s="3" t="s">
        <v>227</v>
      </c>
      <c r="D104" s="3">
        <v>0</v>
      </c>
      <c r="E104" s="3">
        <v>2016</v>
      </c>
      <c r="F104" s="3">
        <v>103</v>
      </c>
      <c r="G104" s="3">
        <v>5</v>
      </c>
      <c r="H104" s="3">
        <v>7</v>
      </c>
      <c r="I104" s="3">
        <v>49</v>
      </c>
      <c r="J104" s="3">
        <v>11</v>
      </c>
      <c r="K104" s="3">
        <v>20</v>
      </c>
      <c r="L104" s="3">
        <v>5</v>
      </c>
      <c r="M104" s="3" t="s">
        <v>277</v>
      </c>
      <c r="N104" s="3">
        <v>3</v>
      </c>
      <c r="O104" s="3" t="s">
        <v>243</v>
      </c>
      <c r="P104" s="3" t="s">
        <v>72</v>
      </c>
      <c r="Q104" s="3" t="s">
        <v>68</v>
      </c>
      <c r="R104" s="3" t="s">
        <v>69</v>
      </c>
      <c r="S104" s="3" t="s">
        <v>74</v>
      </c>
      <c r="T104" s="3">
        <v>0</v>
      </c>
      <c r="U104" s="3" t="s">
        <v>253</v>
      </c>
      <c r="V104" s="3" t="s">
        <v>82</v>
      </c>
      <c r="W104" s="3" t="s">
        <v>177</v>
      </c>
      <c r="X104" s="3">
        <v>1</v>
      </c>
      <c r="Y104" s="3">
        <v>0</v>
      </c>
      <c r="Z104" s="3" t="s">
        <v>84</v>
      </c>
      <c r="AA104" s="3" t="s">
        <v>85</v>
      </c>
      <c r="AB104" s="3" t="s">
        <v>94</v>
      </c>
      <c r="AC104" s="3" t="s">
        <v>86</v>
      </c>
      <c r="AD104" s="3" t="s">
        <v>87</v>
      </c>
      <c r="AE104" s="3">
        <v>0</v>
      </c>
      <c r="AF104" s="3" t="s">
        <v>88</v>
      </c>
      <c r="AG104" s="3" t="s">
        <v>88</v>
      </c>
      <c r="AH104" s="10">
        <f t="shared" si="17"/>
        <v>204.25</v>
      </c>
      <c r="AI104" s="10">
        <f t="shared" si="18"/>
        <v>204.25</v>
      </c>
      <c r="AJ104" s="10" t="s">
        <v>94</v>
      </c>
      <c r="AK104" s="10">
        <v>1</v>
      </c>
      <c r="AL104" s="3" t="s">
        <v>94</v>
      </c>
      <c r="AM104" s="3" t="s">
        <v>94</v>
      </c>
      <c r="AN104" s="3" t="s">
        <v>108</v>
      </c>
      <c r="AO104" s="3" t="s">
        <v>186</v>
      </c>
      <c r="AP104" s="3" t="s">
        <v>125</v>
      </c>
      <c r="AQ104" s="3">
        <v>1</v>
      </c>
      <c r="AR104" s="3">
        <v>0</v>
      </c>
      <c r="AS104" s="3" t="s">
        <v>92</v>
      </c>
      <c r="AT104" s="13" t="s">
        <v>94</v>
      </c>
      <c r="AU104" s="13" t="s">
        <v>94</v>
      </c>
      <c r="AV104" s="12">
        <f t="shared" si="19"/>
        <v>0.3432471703467348</v>
      </c>
      <c r="AW104" s="12" t="s">
        <v>94</v>
      </c>
      <c r="AX104" s="12">
        <v>0</v>
      </c>
      <c r="AY104" s="12">
        <f t="shared" si="20"/>
        <v>-4.9055532944816722</v>
      </c>
      <c r="AZ104" s="12">
        <f>(5*16.98)/22.56</f>
        <v>3.7632978723404258</v>
      </c>
      <c r="BA104" s="12">
        <f>(5*1.92)/22.56</f>
        <v>0.42553191489361702</v>
      </c>
      <c r="BB104" s="12">
        <f t="shared" si="21"/>
        <v>4.3002942407250506</v>
      </c>
      <c r="BC104" s="16">
        <v>102.125</v>
      </c>
      <c r="BD104" s="12">
        <f>(5*23.64)/22.56</f>
        <v>5.2393617021276597</v>
      </c>
      <c r="BE104" s="12">
        <f>(5*1.92)/22.56</f>
        <v>0.42553191489361702</v>
      </c>
      <c r="BF104" s="12">
        <f t="shared" si="22"/>
        <v>4.3002942407250506</v>
      </c>
      <c r="BG104" s="16">
        <v>102.125</v>
      </c>
      <c r="BH104" s="12">
        <f t="shared" si="23"/>
        <v>4.3002942407250506</v>
      </c>
      <c r="BI104" s="10"/>
      <c r="BJ104" s="10"/>
      <c r="BK104" s="10"/>
      <c r="BL104" s="10"/>
      <c r="BM104" s="12" t="s">
        <v>94</v>
      </c>
      <c r="BN104" s="12" t="s">
        <v>94</v>
      </c>
      <c r="BO104" s="12" t="s">
        <v>94</v>
      </c>
      <c r="BP104" s="16" t="s">
        <v>94</v>
      </c>
      <c r="BQ104" s="16" t="s">
        <v>94</v>
      </c>
      <c r="BR104" s="16" t="s">
        <v>94</v>
      </c>
      <c r="BS104" s="3" t="s">
        <v>72</v>
      </c>
      <c r="BT104" s="3" t="s">
        <v>68</v>
      </c>
      <c r="BU104" s="3" t="s">
        <v>69</v>
      </c>
      <c r="BV104" s="3" t="s">
        <v>74</v>
      </c>
      <c r="BW104" s="3">
        <v>0</v>
      </c>
      <c r="BX104" s="3">
        <v>1</v>
      </c>
      <c r="BY104" s="3">
        <v>1</v>
      </c>
      <c r="BZ104" s="3">
        <v>0</v>
      </c>
      <c r="CA104" s="3">
        <v>0</v>
      </c>
      <c r="CB104" s="3">
        <v>1</v>
      </c>
      <c r="CC104" s="3">
        <v>0</v>
      </c>
      <c r="CD104" s="3">
        <v>1</v>
      </c>
      <c r="CE104" s="3">
        <v>0</v>
      </c>
      <c r="CF104" s="3">
        <v>0</v>
      </c>
      <c r="CH104" s="3">
        <v>1</v>
      </c>
      <c r="CI104">
        <v>0</v>
      </c>
      <c r="CJ104" s="5">
        <v>0</v>
      </c>
    </row>
    <row r="105" spans="1:88" x14ac:dyDescent="0.35">
      <c r="A105" s="3" t="s">
        <v>242</v>
      </c>
      <c r="B105" s="3">
        <v>1</v>
      </c>
      <c r="C105" s="3" t="s">
        <v>227</v>
      </c>
      <c r="D105" s="3">
        <v>0</v>
      </c>
      <c r="E105" s="3">
        <v>2016</v>
      </c>
      <c r="F105" s="3">
        <v>104</v>
      </c>
      <c r="G105" s="3">
        <v>5</v>
      </c>
      <c r="H105" s="3">
        <v>7</v>
      </c>
      <c r="I105" s="3">
        <v>50</v>
      </c>
      <c r="J105" s="3">
        <v>9</v>
      </c>
      <c r="K105" s="3">
        <v>20</v>
      </c>
      <c r="L105" s="3">
        <v>5</v>
      </c>
      <c r="M105" s="3" t="s">
        <v>277</v>
      </c>
      <c r="N105" s="3">
        <v>3</v>
      </c>
      <c r="O105" s="3" t="s">
        <v>243</v>
      </c>
      <c r="P105" s="3" t="s">
        <v>72</v>
      </c>
      <c r="Q105" s="3" t="s">
        <v>68</v>
      </c>
      <c r="R105" s="3" t="s">
        <v>69</v>
      </c>
      <c r="S105" s="3" t="s">
        <v>74</v>
      </c>
      <c r="T105" s="3">
        <v>0</v>
      </c>
      <c r="U105" s="3" t="s">
        <v>245</v>
      </c>
      <c r="V105" s="3" t="s">
        <v>97</v>
      </c>
      <c r="W105" s="3" t="s">
        <v>97</v>
      </c>
      <c r="X105" s="3">
        <v>1</v>
      </c>
      <c r="Y105" s="3">
        <v>0</v>
      </c>
      <c r="Z105" s="3" t="s">
        <v>84</v>
      </c>
      <c r="AA105" s="3" t="s">
        <v>85</v>
      </c>
      <c r="AB105" s="3" t="s">
        <v>94</v>
      </c>
      <c r="AC105" s="3" t="s">
        <v>86</v>
      </c>
      <c r="AD105" s="3" t="s">
        <v>87</v>
      </c>
      <c r="AE105" s="3">
        <v>0</v>
      </c>
      <c r="AF105" s="3" t="s">
        <v>88</v>
      </c>
      <c r="AG105" s="3" t="s">
        <v>88</v>
      </c>
      <c r="AH105" s="10">
        <f t="shared" si="17"/>
        <v>204.25</v>
      </c>
      <c r="AI105" s="10">
        <f t="shared" si="18"/>
        <v>204.25</v>
      </c>
      <c r="AJ105" s="10" t="s">
        <v>94</v>
      </c>
      <c r="AK105" s="10">
        <v>0</v>
      </c>
      <c r="AL105" s="3" t="s">
        <v>94</v>
      </c>
      <c r="AM105" s="3" t="s">
        <v>94</v>
      </c>
      <c r="AN105" s="3" t="s">
        <v>108</v>
      </c>
      <c r="AO105" s="3" t="s">
        <v>186</v>
      </c>
      <c r="AP105" s="3" t="s">
        <v>125</v>
      </c>
      <c r="AQ105" s="3">
        <v>0</v>
      </c>
      <c r="AR105" s="3">
        <v>0</v>
      </c>
      <c r="AS105" s="3" t="s">
        <v>92</v>
      </c>
      <c r="AT105" s="13" t="s">
        <v>94</v>
      </c>
      <c r="AU105" s="13" t="s">
        <v>94</v>
      </c>
      <c r="AV105" s="12">
        <f t="shared" si="19"/>
        <v>1.0427514620509235E-2</v>
      </c>
      <c r="AW105" s="12" t="s">
        <v>94</v>
      </c>
      <c r="AX105" s="12">
        <v>0.88564399999999999</v>
      </c>
      <c r="AY105" s="12">
        <f t="shared" si="20"/>
        <v>-0.14902592976432233</v>
      </c>
      <c r="AZ105" s="12">
        <v>10.61</v>
      </c>
      <c r="BA105" s="12">
        <f>(10*1.67)/25.14</f>
        <v>0.66428003182179785</v>
      </c>
      <c r="BB105" s="12">
        <f t="shared" si="21"/>
        <v>6.7130090484190363</v>
      </c>
      <c r="BC105" s="16">
        <v>102.125</v>
      </c>
      <c r="BD105" s="12">
        <v>10.68</v>
      </c>
      <c r="BE105" s="12">
        <f>(10*1.67)/25.14</f>
        <v>0.66428003182179785</v>
      </c>
      <c r="BF105" s="12">
        <f t="shared" si="22"/>
        <v>6.7130090484190363</v>
      </c>
      <c r="BG105" s="16">
        <v>102.125</v>
      </c>
      <c r="BH105" s="12">
        <f t="shared" si="23"/>
        <v>6.7130090484190363</v>
      </c>
      <c r="BI105" s="10"/>
      <c r="BJ105" s="10"/>
      <c r="BK105" s="10"/>
      <c r="BL105" s="10"/>
      <c r="BM105" s="12" t="s">
        <v>94</v>
      </c>
      <c r="BN105" s="12" t="s">
        <v>94</v>
      </c>
      <c r="BO105" s="12" t="s">
        <v>94</v>
      </c>
      <c r="BP105" s="16" t="s">
        <v>94</v>
      </c>
      <c r="BQ105" s="16" t="s">
        <v>94</v>
      </c>
      <c r="BR105" s="16" t="s">
        <v>94</v>
      </c>
      <c r="BS105" s="3" t="s">
        <v>72</v>
      </c>
      <c r="BT105" s="3" t="s">
        <v>68</v>
      </c>
      <c r="BU105" s="3" t="s">
        <v>69</v>
      </c>
      <c r="BV105" s="3" t="s">
        <v>74</v>
      </c>
      <c r="BW105" s="3">
        <v>0</v>
      </c>
      <c r="BX105" s="3">
        <v>1</v>
      </c>
      <c r="BY105" s="3">
        <v>1</v>
      </c>
      <c r="BZ105" s="3">
        <v>0</v>
      </c>
      <c r="CA105" s="3">
        <v>0</v>
      </c>
      <c r="CB105" s="3">
        <v>1</v>
      </c>
      <c r="CC105" s="3">
        <v>0</v>
      </c>
      <c r="CD105" s="3">
        <v>1</v>
      </c>
      <c r="CE105" s="3">
        <v>0</v>
      </c>
      <c r="CF105" s="3">
        <v>0</v>
      </c>
      <c r="CH105" s="3">
        <v>1</v>
      </c>
      <c r="CI105">
        <v>0</v>
      </c>
      <c r="CJ105" s="5">
        <v>0</v>
      </c>
    </row>
    <row r="106" spans="1:88" x14ac:dyDescent="0.35">
      <c r="A106" s="3" t="s">
        <v>242</v>
      </c>
      <c r="B106" s="3">
        <v>1</v>
      </c>
      <c r="C106" s="3" t="s">
        <v>227</v>
      </c>
      <c r="D106" s="3">
        <v>0</v>
      </c>
      <c r="E106" s="3">
        <v>2016</v>
      </c>
      <c r="F106" s="3">
        <v>105</v>
      </c>
      <c r="G106" s="3">
        <v>5</v>
      </c>
      <c r="H106" s="3">
        <v>7</v>
      </c>
      <c r="I106" s="3">
        <v>50</v>
      </c>
      <c r="J106" s="3">
        <v>10</v>
      </c>
      <c r="K106" s="3">
        <v>20</v>
      </c>
      <c r="L106" s="3">
        <v>5</v>
      </c>
      <c r="M106" s="3" t="s">
        <v>277</v>
      </c>
      <c r="N106" s="3">
        <v>3</v>
      </c>
      <c r="O106" s="3" t="s">
        <v>243</v>
      </c>
      <c r="P106" s="3" t="s">
        <v>72</v>
      </c>
      <c r="Q106" s="3" t="s">
        <v>68</v>
      </c>
      <c r="R106" s="3" t="s">
        <v>69</v>
      </c>
      <c r="S106" s="3" t="s">
        <v>74</v>
      </c>
      <c r="T106" s="3">
        <v>0</v>
      </c>
      <c r="U106" s="3" t="s">
        <v>252</v>
      </c>
      <c r="V106" s="3" t="s">
        <v>82</v>
      </c>
      <c r="W106" s="3" t="s">
        <v>166</v>
      </c>
      <c r="X106" s="3">
        <v>1</v>
      </c>
      <c r="Y106" s="3">
        <v>0</v>
      </c>
      <c r="Z106" s="3" t="s">
        <v>84</v>
      </c>
      <c r="AA106" s="3" t="s">
        <v>85</v>
      </c>
      <c r="AB106" s="3" t="s">
        <v>94</v>
      </c>
      <c r="AC106" s="3" t="s">
        <v>86</v>
      </c>
      <c r="AD106" s="3" t="s">
        <v>87</v>
      </c>
      <c r="AE106" s="3">
        <v>0</v>
      </c>
      <c r="AF106" s="3" t="s">
        <v>88</v>
      </c>
      <c r="AG106" s="3" t="s">
        <v>88</v>
      </c>
      <c r="AH106" s="10">
        <f t="shared" si="17"/>
        <v>204.25</v>
      </c>
      <c r="AI106" s="10">
        <f t="shared" si="18"/>
        <v>204.25</v>
      </c>
      <c r="AJ106" s="10" t="s">
        <v>94</v>
      </c>
      <c r="AK106" s="10">
        <v>1</v>
      </c>
      <c r="AL106" s="3" t="s">
        <v>94</v>
      </c>
      <c r="AM106" s="3" t="s">
        <v>94</v>
      </c>
      <c r="AN106" s="3" t="s">
        <v>108</v>
      </c>
      <c r="AO106" s="3" t="s">
        <v>186</v>
      </c>
      <c r="AP106" s="3" t="s">
        <v>125</v>
      </c>
      <c r="AQ106" s="3">
        <v>1</v>
      </c>
      <c r="AR106" s="3">
        <v>0</v>
      </c>
      <c r="AS106" s="3" t="s">
        <v>92</v>
      </c>
      <c r="AT106" s="13" t="s">
        <v>94</v>
      </c>
      <c r="AU106" s="13" t="s">
        <v>94</v>
      </c>
      <c r="AV106" s="12">
        <f t="shared" si="19"/>
        <v>0.16854067781879548</v>
      </c>
      <c r="AW106" s="12" t="s">
        <v>94</v>
      </c>
      <c r="AX106" s="12">
        <v>1.6893999999999999E-2</v>
      </c>
      <c r="AY106" s="12">
        <f t="shared" si="20"/>
        <v>-2.4087169502168964</v>
      </c>
      <c r="AZ106" s="12">
        <f>(5*17.43)/22.69</f>
        <v>3.840899074482151</v>
      </c>
      <c r="BA106" s="12">
        <f>(5*1.88)/25.14</f>
        <v>0.37390612569610177</v>
      </c>
      <c r="BB106" s="12">
        <f t="shared" si="21"/>
        <v>3.7785799434214935</v>
      </c>
      <c r="BC106" s="16">
        <v>102.125</v>
      </c>
      <c r="BD106" s="12">
        <f>(5*20.32)/22.69</f>
        <v>4.4777434993389154</v>
      </c>
      <c r="BE106" s="12">
        <f>(5*1.88)/25.14</f>
        <v>0.37390612569610177</v>
      </c>
      <c r="BF106" s="12">
        <f t="shared" si="22"/>
        <v>3.7785799434214935</v>
      </c>
      <c r="BG106" s="16">
        <v>102.125</v>
      </c>
      <c r="BH106" s="12">
        <f t="shared" si="23"/>
        <v>3.7785799434214935</v>
      </c>
      <c r="BI106" s="10"/>
      <c r="BJ106" s="10"/>
      <c r="BK106" s="10"/>
      <c r="BL106" s="10"/>
      <c r="BM106" s="12" t="s">
        <v>94</v>
      </c>
      <c r="BN106" s="12" t="s">
        <v>94</v>
      </c>
      <c r="BO106" s="12" t="s">
        <v>94</v>
      </c>
      <c r="BP106" s="16" t="s">
        <v>94</v>
      </c>
      <c r="BQ106" s="16" t="s">
        <v>94</v>
      </c>
      <c r="BR106" s="16" t="s">
        <v>94</v>
      </c>
      <c r="BS106" s="3" t="s">
        <v>72</v>
      </c>
      <c r="BT106" s="3" t="s">
        <v>68</v>
      </c>
      <c r="BU106" s="3" t="s">
        <v>69</v>
      </c>
      <c r="BV106" s="3" t="s">
        <v>74</v>
      </c>
      <c r="BW106" s="3">
        <v>0</v>
      </c>
      <c r="BX106" s="3">
        <v>1</v>
      </c>
      <c r="BY106" s="3">
        <v>1</v>
      </c>
      <c r="BZ106" s="3">
        <v>0</v>
      </c>
      <c r="CA106" s="3">
        <v>0</v>
      </c>
      <c r="CB106" s="3">
        <v>1</v>
      </c>
      <c r="CC106" s="3">
        <v>0</v>
      </c>
      <c r="CD106" s="3">
        <v>1</v>
      </c>
      <c r="CE106" s="3">
        <v>0</v>
      </c>
      <c r="CF106" s="3">
        <v>0</v>
      </c>
      <c r="CH106" s="3">
        <v>1</v>
      </c>
      <c r="CI106">
        <v>0</v>
      </c>
      <c r="CJ106" s="5">
        <v>0</v>
      </c>
    </row>
    <row r="107" spans="1:88" s="8" customFormat="1" x14ac:dyDescent="0.35">
      <c r="A107" s="3" t="s">
        <v>242</v>
      </c>
      <c r="B107" s="3">
        <v>1</v>
      </c>
      <c r="C107" s="3" t="s">
        <v>227</v>
      </c>
      <c r="D107" s="3">
        <v>0</v>
      </c>
      <c r="E107" s="3">
        <v>2016</v>
      </c>
      <c r="F107" s="3">
        <v>106</v>
      </c>
      <c r="G107" s="3">
        <v>5</v>
      </c>
      <c r="H107" s="3">
        <v>7</v>
      </c>
      <c r="I107" s="3">
        <v>50</v>
      </c>
      <c r="J107" s="3">
        <v>11</v>
      </c>
      <c r="K107" s="3">
        <v>20</v>
      </c>
      <c r="L107" s="3">
        <v>5</v>
      </c>
      <c r="M107" s="3" t="s">
        <v>277</v>
      </c>
      <c r="N107" s="3">
        <v>3</v>
      </c>
      <c r="O107" s="3" t="s">
        <v>243</v>
      </c>
      <c r="P107" s="3" t="s">
        <v>72</v>
      </c>
      <c r="Q107" s="3" t="s">
        <v>68</v>
      </c>
      <c r="R107" s="3" t="s">
        <v>69</v>
      </c>
      <c r="S107" s="3" t="s">
        <v>74</v>
      </c>
      <c r="T107" s="3">
        <v>0</v>
      </c>
      <c r="U107" s="3" t="s">
        <v>247</v>
      </c>
      <c r="V107" s="3" t="s">
        <v>82</v>
      </c>
      <c r="W107" s="3" t="s">
        <v>177</v>
      </c>
      <c r="X107" s="3">
        <v>1</v>
      </c>
      <c r="Y107" s="3">
        <v>0</v>
      </c>
      <c r="Z107" s="3" t="s">
        <v>84</v>
      </c>
      <c r="AA107" s="3" t="s">
        <v>85</v>
      </c>
      <c r="AB107" s="3" t="s">
        <v>94</v>
      </c>
      <c r="AC107" s="3" t="s">
        <v>86</v>
      </c>
      <c r="AD107" s="3" t="s">
        <v>87</v>
      </c>
      <c r="AE107" s="3">
        <v>0</v>
      </c>
      <c r="AF107" s="3" t="s">
        <v>88</v>
      </c>
      <c r="AG107" s="3" t="s">
        <v>88</v>
      </c>
      <c r="AH107" s="10">
        <f t="shared" si="17"/>
        <v>204.25</v>
      </c>
      <c r="AI107" s="10">
        <f t="shared" si="18"/>
        <v>204.25</v>
      </c>
      <c r="AJ107" s="10" t="s">
        <v>94</v>
      </c>
      <c r="AK107" s="10">
        <v>1</v>
      </c>
      <c r="AL107" s="3" t="s">
        <v>94</v>
      </c>
      <c r="AM107" s="3" t="s">
        <v>94</v>
      </c>
      <c r="AN107" s="3" t="s">
        <v>108</v>
      </c>
      <c r="AO107" s="3" t="s">
        <v>186</v>
      </c>
      <c r="AP107" s="3" t="s">
        <v>125</v>
      </c>
      <c r="AQ107" s="3">
        <v>1</v>
      </c>
      <c r="AR107" s="3">
        <v>0</v>
      </c>
      <c r="AS107" s="3" t="s">
        <v>92</v>
      </c>
      <c r="AT107" s="13" t="s">
        <v>94</v>
      </c>
      <c r="AU107" s="13" t="s">
        <v>94</v>
      </c>
      <c r="AV107" s="12">
        <f t="shared" si="19"/>
        <v>0.18072801393894211</v>
      </c>
      <c r="AW107" s="12" t="s">
        <v>94</v>
      </c>
      <c r="AX107" s="12">
        <v>1.0501E-2</v>
      </c>
      <c r="AY107" s="12">
        <f t="shared" si="20"/>
        <v>-2.5828935553575811</v>
      </c>
      <c r="AZ107" s="12">
        <f>(5*14.4)/21.79</f>
        <v>3.3042680128499313</v>
      </c>
      <c r="BA107" s="12">
        <f>(5*1.78)/22.56</f>
        <v>0.39450354609929084</v>
      </c>
      <c r="BB107" s="12">
        <f t="shared" si="21"/>
        <v>3.9867311190055159</v>
      </c>
      <c r="BC107" s="16">
        <v>102.125</v>
      </c>
      <c r="BD107" s="12">
        <f>(5*17.54)/21.79</f>
        <v>4.0247820100963745</v>
      </c>
      <c r="BE107" s="12">
        <f>(5*1.78)/22.56</f>
        <v>0.39450354609929084</v>
      </c>
      <c r="BF107" s="12">
        <f t="shared" si="22"/>
        <v>3.9867311190055159</v>
      </c>
      <c r="BG107" s="16">
        <v>102.125</v>
      </c>
      <c r="BH107" s="12">
        <f t="shared" si="23"/>
        <v>3.9867311190055159</v>
      </c>
      <c r="BI107" s="10"/>
      <c r="BJ107" s="10"/>
      <c r="BK107" s="10"/>
      <c r="BL107" s="10"/>
      <c r="BM107" s="12" t="s">
        <v>94</v>
      </c>
      <c r="BN107" s="12" t="s">
        <v>94</v>
      </c>
      <c r="BO107" s="12" t="s">
        <v>94</v>
      </c>
      <c r="BP107" s="16" t="s">
        <v>94</v>
      </c>
      <c r="BQ107" s="16" t="s">
        <v>94</v>
      </c>
      <c r="BR107" s="16" t="s">
        <v>94</v>
      </c>
      <c r="BS107" s="3" t="s">
        <v>72</v>
      </c>
      <c r="BT107" s="3" t="s">
        <v>68</v>
      </c>
      <c r="BU107" s="3" t="s">
        <v>69</v>
      </c>
      <c r="BV107" s="3" t="s">
        <v>74</v>
      </c>
      <c r="BW107" s="3">
        <v>0</v>
      </c>
      <c r="BX107" s="3">
        <v>1</v>
      </c>
      <c r="BY107" s="3">
        <v>1</v>
      </c>
      <c r="BZ107" s="3">
        <v>0</v>
      </c>
      <c r="CA107" s="3">
        <v>0</v>
      </c>
      <c r="CB107" s="3">
        <v>1</v>
      </c>
      <c r="CC107" s="3">
        <v>0</v>
      </c>
      <c r="CD107" s="3">
        <v>1</v>
      </c>
      <c r="CE107" s="3">
        <v>0</v>
      </c>
      <c r="CF107" s="3">
        <v>0</v>
      </c>
      <c r="CG107"/>
      <c r="CH107" s="3">
        <v>1</v>
      </c>
      <c r="CI107">
        <v>0</v>
      </c>
      <c r="CJ107" s="5">
        <v>0</v>
      </c>
    </row>
    <row r="108" spans="1:88" s="7" customFormat="1" x14ac:dyDescent="0.35">
      <c r="A108" s="3" t="s">
        <v>254</v>
      </c>
      <c r="B108" s="3">
        <v>2</v>
      </c>
      <c r="C108" s="3" t="s">
        <v>211</v>
      </c>
      <c r="D108" s="3">
        <v>1</v>
      </c>
      <c r="E108" s="3">
        <v>2023</v>
      </c>
      <c r="F108" s="3">
        <v>107</v>
      </c>
      <c r="G108" s="3">
        <v>1</v>
      </c>
      <c r="H108" s="3">
        <v>32</v>
      </c>
      <c r="I108" s="3">
        <v>51</v>
      </c>
      <c r="J108" s="3">
        <v>70</v>
      </c>
      <c r="K108" s="3">
        <v>21</v>
      </c>
      <c r="L108" s="3">
        <v>2</v>
      </c>
      <c r="M108" s="3" t="s">
        <v>279</v>
      </c>
      <c r="N108" s="3">
        <v>14</v>
      </c>
      <c r="O108" s="3" t="s">
        <v>255</v>
      </c>
      <c r="P108" s="3" t="s">
        <v>72</v>
      </c>
      <c r="Q108" s="3" t="s">
        <v>74</v>
      </c>
      <c r="R108" s="3" t="s">
        <v>71</v>
      </c>
      <c r="S108" s="3">
        <v>0</v>
      </c>
      <c r="T108" s="3">
        <v>0</v>
      </c>
      <c r="U108" s="3" t="s">
        <v>213</v>
      </c>
      <c r="V108" s="3" t="s">
        <v>97</v>
      </c>
      <c r="W108" s="3" t="s">
        <v>97</v>
      </c>
      <c r="X108" s="3">
        <v>1</v>
      </c>
      <c r="Y108" s="3">
        <v>1</v>
      </c>
      <c r="Z108" s="3" t="s">
        <v>84</v>
      </c>
      <c r="AA108" s="3" t="s">
        <v>85</v>
      </c>
      <c r="AB108" s="3" t="s">
        <v>94</v>
      </c>
      <c r="AC108" s="3" t="s">
        <v>86</v>
      </c>
      <c r="AD108" s="3" t="s">
        <v>87</v>
      </c>
      <c r="AE108" s="3">
        <v>0</v>
      </c>
      <c r="AF108" s="3" t="s">
        <v>214</v>
      </c>
      <c r="AG108" s="3" t="s">
        <v>162</v>
      </c>
      <c r="AH108" s="10">
        <f>SUM(BJ108,BL108,BR108)</f>
        <v>1270</v>
      </c>
      <c r="AI108" s="10">
        <f>SUM(BJ108,BL108)</f>
        <v>857</v>
      </c>
      <c r="AJ108" s="10">
        <f>SUM(BJ108,BR108)</f>
        <v>838</v>
      </c>
      <c r="AK108" s="10">
        <v>0</v>
      </c>
      <c r="AL108" s="3">
        <v>30</v>
      </c>
      <c r="AM108" s="3" t="s">
        <v>93</v>
      </c>
      <c r="AN108" s="3" t="s">
        <v>108</v>
      </c>
      <c r="AO108" s="3" t="s">
        <v>257</v>
      </c>
      <c r="AP108" s="3" t="s">
        <v>125</v>
      </c>
      <c r="AQ108" s="3">
        <v>1</v>
      </c>
      <c r="AR108" s="3">
        <v>0</v>
      </c>
      <c r="AS108" s="3" t="s">
        <v>111</v>
      </c>
      <c r="AT108" s="13" t="s">
        <v>94</v>
      </c>
      <c r="AU108" s="13" t="s">
        <v>94</v>
      </c>
      <c r="AV108" s="13">
        <f>LN((BK108/(BL108-BK108))/(BI108/(BJ108-BI108)))*(SQRT(3)/PI())</f>
        <v>0.27133447828206592</v>
      </c>
      <c r="AW108" s="12">
        <f>LN((BI108/(BJ108-BI108))/(BQ108/(BR108-BQ108)))*(SQRT(3)/PI())</f>
        <v>9.031857370874212E-2</v>
      </c>
      <c r="AX108" s="3">
        <v>1E-3</v>
      </c>
      <c r="AY108" s="13"/>
      <c r="AZ108" s="13"/>
      <c r="BA108" s="13"/>
      <c r="BB108" s="13"/>
      <c r="BC108" s="10"/>
      <c r="BD108" s="13"/>
      <c r="BE108" s="13"/>
      <c r="BF108" s="13"/>
      <c r="BG108" s="10"/>
      <c r="BH108" s="13"/>
      <c r="BI108" s="10">
        <v>190</v>
      </c>
      <c r="BJ108" s="10">
        <v>425</v>
      </c>
      <c r="BK108" s="10">
        <v>246</v>
      </c>
      <c r="BL108" s="10">
        <v>432</v>
      </c>
      <c r="BM108" s="12"/>
      <c r="BN108" s="12"/>
      <c r="BO108" s="12"/>
      <c r="BP108" s="16"/>
      <c r="BQ108" s="16">
        <f>0.407*BR108</f>
        <v>168.09099999999998</v>
      </c>
      <c r="BR108" s="16">
        <v>413</v>
      </c>
      <c r="BS108" s="3" t="s">
        <v>72</v>
      </c>
      <c r="BT108" s="3" t="s">
        <v>74</v>
      </c>
      <c r="BU108" s="3" t="s">
        <v>71</v>
      </c>
      <c r="BV108" s="3">
        <v>0</v>
      </c>
      <c r="BW108" s="3">
        <v>0</v>
      </c>
      <c r="BX108" s="3">
        <v>0</v>
      </c>
      <c r="BY108" s="3">
        <v>0</v>
      </c>
      <c r="BZ108" s="3">
        <v>0</v>
      </c>
      <c r="CA108" s="3">
        <v>1</v>
      </c>
      <c r="CB108" s="3">
        <v>1</v>
      </c>
      <c r="CC108" s="3">
        <v>0</v>
      </c>
      <c r="CD108" s="3">
        <v>1</v>
      </c>
      <c r="CE108" s="3">
        <v>0</v>
      </c>
      <c r="CF108" s="3">
        <v>0</v>
      </c>
      <c r="CG108"/>
      <c r="CH108">
        <v>1</v>
      </c>
      <c r="CI108">
        <v>0</v>
      </c>
      <c r="CJ108">
        <v>0</v>
      </c>
    </row>
    <row r="109" spans="1:88" s="7" customFormat="1" x14ac:dyDescent="0.35">
      <c r="A109" s="3" t="s">
        <v>254</v>
      </c>
      <c r="B109" s="3">
        <v>2</v>
      </c>
      <c r="C109" s="3" t="s">
        <v>211</v>
      </c>
      <c r="D109" s="3">
        <v>1</v>
      </c>
      <c r="E109" s="3">
        <v>2023</v>
      </c>
      <c r="F109" s="3">
        <v>108</v>
      </c>
      <c r="G109" s="3">
        <v>1</v>
      </c>
      <c r="H109" s="3">
        <v>33</v>
      </c>
      <c r="I109" s="3">
        <v>52</v>
      </c>
      <c r="J109" s="3">
        <v>71</v>
      </c>
      <c r="K109" s="3">
        <v>21</v>
      </c>
      <c r="L109" s="3">
        <v>2</v>
      </c>
      <c r="M109" s="3" t="s">
        <v>278</v>
      </c>
      <c r="N109" s="3">
        <v>14</v>
      </c>
      <c r="O109" s="3" t="s">
        <v>255</v>
      </c>
      <c r="P109" s="3" t="s">
        <v>72</v>
      </c>
      <c r="Q109" s="3" t="s">
        <v>74</v>
      </c>
      <c r="R109" s="3" t="s">
        <v>71</v>
      </c>
      <c r="S109" s="3">
        <v>0</v>
      </c>
      <c r="T109" s="3">
        <v>0</v>
      </c>
      <c r="U109" s="3" t="s">
        <v>213</v>
      </c>
      <c r="V109" s="3" t="s">
        <v>97</v>
      </c>
      <c r="W109" s="3" t="s">
        <v>97</v>
      </c>
      <c r="X109" s="3">
        <v>1</v>
      </c>
      <c r="Y109" s="3">
        <v>1</v>
      </c>
      <c r="Z109" s="3" t="s">
        <v>84</v>
      </c>
      <c r="AA109" s="3" t="s">
        <v>85</v>
      </c>
      <c r="AB109" s="3" t="s">
        <v>94</v>
      </c>
      <c r="AC109" s="3" t="s">
        <v>86</v>
      </c>
      <c r="AD109" s="3" t="s">
        <v>87</v>
      </c>
      <c r="AE109" s="3">
        <v>0</v>
      </c>
      <c r="AF109" s="3" t="s">
        <v>214</v>
      </c>
      <c r="AG109" s="3" t="s">
        <v>162</v>
      </c>
      <c r="AH109" s="10">
        <f>SUM(BJ109,BL109,BR109)</f>
        <v>1258</v>
      </c>
      <c r="AI109" s="10">
        <f>SUM(BJ109,BL109)</f>
        <v>840</v>
      </c>
      <c r="AJ109" s="10">
        <f>SUM(BJ109,BR109)</f>
        <v>840</v>
      </c>
      <c r="AK109" s="10">
        <v>0</v>
      </c>
      <c r="AL109" s="3">
        <v>27.3</v>
      </c>
      <c r="AM109" s="3" t="s">
        <v>256</v>
      </c>
      <c r="AN109" s="3" t="s">
        <v>108</v>
      </c>
      <c r="AO109" s="3" t="s">
        <v>257</v>
      </c>
      <c r="AP109" s="3" t="s">
        <v>125</v>
      </c>
      <c r="AQ109" s="3">
        <v>0</v>
      </c>
      <c r="AR109" s="3">
        <v>0</v>
      </c>
      <c r="AS109" s="3" t="s">
        <v>111</v>
      </c>
      <c r="AT109" s="13" t="s">
        <v>94</v>
      </c>
      <c r="AU109" s="13" t="s">
        <v>94</v>
      </c>
      <c r="AV109" s="13">
        <f>LN((BK109/(BL109-BK109))/(BI109/(BJ109-BI109)))*(SQRT(3)/PI())</f>
        <v>0.13207446516923893</v>
      </c>
      <c r="AW109" s="12">
        <f>LN((BI109/(BJ109-BI109))/(BQ109/(BR109-BQ109)))*(SQRT(3)/PI())</f>
        <v>0.27725625613941646</v>
      </c>
      <c r="AX109" s="3">
        <v>8.3000000000000004E-2</v>
      </c>
      <c r="AY109" s="13"/>
      <c r="AZ109" s="13"/>
      <c r="BA109" s="13"/>
      <c r="BB109" s="13"/>
      <c r="BC109" s="10"/>
      <c r="BD109" s="13"/>
      <c r="BE109" s="13"/>
      <c r="BF109" s="13"/>
      <c r="BG109" s="10"/>
      <c r="BH109" s="13"/>
      <c r="BI109" s="10">
        <v>207</v>
      </c>
      <c r="BJ109" s="10">
        <v>422</v>
      </c>
      <c r="BK109" s="10">
        <v>230</v>
      </c>
      <c r="BL109" s="10">
        <v>418</v>
      </c>
      <c r="BM109" s="12"/>
      <c r="BN109" s="12"/>
      <c r="BO109" s="12"/>
      <c r="BP109" s="16"/>
      <c r="BQ109" s="16">
        <f>0.368*BR109</f>
        <v>153.82399999999998</v>
      </c>
      <c r="BR109" s="16">
        <v>418</v>
      </c>
      <c r="BS109" s="3" t="s">
        <v>72</v>
      </c>
      <c r="BT109" s="3" t="s">
        <v>74</v>
      </c>
      <c r="BU109" s="3" t="s">
        <v>71</v>
      </c>
      <c r="BV109" s="3">
        <v>0</v>
      </c>
      <c r="BW109" s="3">
        <v>0</v>
      </c>
      <c r="BX109" s="3">
        <v>0</v>
      </c>
      <c r="BY109" s="3">
        <v>0</v>
      </c>
      <c r="BZ109" s="3">
        <v>0</v>
      </c>
      <c r="CA109" s="3">
        <v>1</v>
      </c>
      <c r="CB109" s="3">
        <v>1</v>
      </c>
      <c r="CC109" s="3">
        <v>0</v>
      </c>
      <c r="CD109" s="3">
        <v>1</v>
      </c>
      <c r="CE109" s="3">
        <v>0</v>
      </c>
      <c r="CF109" s="3">
        <v>0</v>
      </c>
      <c r="CG109"/>
      <c r="CH109">
        <v>1</v>
      </c>
      <c r="CI109">
        <v>0</v>
      </c>
      <c r="CJ109">
        <v>0</v>
      </c>
    </row>
    <row r="110" spans="1:88" s="7" customFormat="1" x14ac:dyDescent="0.35">
      <c r="A110" s="3" t="s">
        <v>258</v>
      </c>
      <c r="B110" s="3">
        <v>2</v>
      </c>
      <c r="C110" s="3" t="s">
        <v>211</v>
      </c>
      <c r="D110" s="3">
        <v>0</v>
      </c>
      <c r="E110" s="3">
        <v>2020</v>
      </c>
      <c r="F110" s="3">
        <v>109</v>
      </c>
      <c r="G110" s="3">
        <v>1</v>
      </c>
      <c r="H110" s="3">
        <v>14</v>
      </c>
      <c r="I110" s="3">
        <v>53</v>
      </c>
      <c r="J110" s="3">
        <v>22</v>
      </c>
      <c r="K110" s="3">
        <v>22</v>
      </c>
      <c r="L110" s="3">
        <v>1</v>
      </c>
      <c r="M110" s="3" t="s">
        <v>280</v>
      </c>
      <c r="N110" s="3">
        <v>13</v>
      </c>
      <c r="O110" s="3" t="s">
        <v>260</v>
      </c>
      <c r="P110" s="3" t="s">
        <v>72</v>
      </c>
      <c r="Q110" s="3" t="s">
        <v>74</v>
      </c>
      <c r="R110" s="3">
        <v>0</v>
      </c>
      <c r="S110" s="3">
        <v>0</v>
      </c>
      <c r="T110" s="3">
        <v>0</v>
      </c>
      <c r="U110" s="3" t="s">
        <v>208</v>
      </c>
      <c r="V110" s="3" t="s">
        <v>82</v>
      </c>
      <c r="W110" s="3" t="s">
        <v>83</v>
      </c>
      <c r="X110" s="3">
        <v>1</v>
      </c>
      <c r="Y110" s="3">
        <v>0</v>
      </c>
      <c r="Z110" s="3" t="s">
        <v>84</v>
      </c>
      <c r="AA110" s="3" t="s">
        <v>85</v>
      </c>
      <c r="AB110" s="3" t="s">
        <v>94</v>
      </c>
      <c r="AC110" s="3" t="s">
        <v>86</v>
      </c>
      <c r="AD110" s="3" t="s">
        <v>87</v>
      </c>
      <c r="AE110" s="3">
        <v>0</v>
      </c>
      <c r="AF110" s="3" t="s">
        <v>214</v>
      </c>
      <c r="AG110" s="3" t="s">
        <v>162</v>
      </c>
      <c r="AH110" s="10">
        <f>SUM(BC110,BG110,BP110)</f>
        <v>449</v>
      </c>
      <c r="AI110" s="10">
        <f>SUM(BC110,BG110)</f>
        <v>449</v>
      </c>
      <c r="AJ110" s="10" t="s">
        <v>94</v>
      </c>
      <c r="AK110" s="10">
        <v>1</v>
      </c>
      <c r="AL110" s="3">
        <v>27.1</v>
      </c>
      <c r="AM110" s="3">
        <v>0.41</v>
      </c>
      <c r="AN110" s="3" t="s">
        <v>108</v>
      </c>
      <c r="AO110" s="3" t="s">
        <v>124</v>
      </c>
      <c r="AP110" s="3" t="s">
        <v>125</v>
      </c>
      <c r="AQ110" s="3">
        <v>0</v>
      </c>
      <c r="AR110" s="3">
        <v>0</v>
      </c>
      <c r="AS110" s="3" t="s">
        <v>92</v>
      </c>
      <c r="AT110" s="13" t="s">
        <v>94</v>
      </c>
      <c r="AU110" s="13" t="s">
        <v>94</v>
      </c>
      <c r="AV110" s="12">
        <f>(BD110-AZ110)/(SQRT((BB110^2+BF110^2)/2))</f>
        <v>-9.9995000374966635E-3</v>
      </c>
      <c r="AW110" s="12" t="s">
        <v>94</v>
      </c>
      <c r="AX110" s="12">
        <v>0.26800000000000002</v>
      </c>
      <c r="AY110" s="13"/>
      <c r="AZ110" s="13">
        <v>5.2</v>
      </c>
      <c r="BA110" s="13"/>
      <c r="BB110" s="13">
        <v>0.99</v>
      </c>
      <c r="BC110" s="10">
        <v>243</v>
      </c>
      <c r="BD110" s="13">
        <v>5.19</v>
      </c>
      <c r="BE110" s="13"/>
      <c r="BF110" s="13">
        <v>1.01</v>
      </c>
      <c r="BG110" s="10">
        <v>206</v>
      </c>
      <c r="BH110" s="13"/>
      <c r="BI110" s="10"/>
      <c r="BJ110" s="10"/>
      <c r="BK110" s="10"/>
      <c r="BL110" s="10"/>
      <c r="BM110" s="12" t="s">
        <v>94</v>
      </c>
      <c r="BN110" s="12" t="s">
        <v>94</v>
      </c>
      <c r="BO110" s="12" t="s">
        <v>94</v>
      </c>
      <c r="BP110" s="16" t="s">
        <v>94</v>
      </c>
      <c r="BQ110" s="16" t="s">
        <v>94</v>
      </c>
      <c r="BR110" s="16" t="s">
        <v>94</v>
      </c>
      <c r="BS110" s="3" t="s">
        <v>72</v>
      </c>
      <c r="BT110" s="3" t="s">
        <v>74</v>
      </c>
      <c r="BU110" s="3">
        <v>0</v>
      </c>
      <c r="BV110" s="3">
        <v>0</v>
      </c>
      <c r="BW110" s="3">
        <v>0</v>
      </c>
      <c r="BX110" s="3">
        <v>0</v>
      </c>
      <c r="BY110" s="3">
        <v>0</v>
      </c>
      <c r="BZ110" s="3">
        <v>0</v>
      </c>
      <c r="CA110" s="3">
        <v>0</v>
      </c>
      <c r="CB110" s="3">
        <v>1</v>
      </c>
      <c r="CC110" s="3">
        <v>0</v>
      </c>
      <c r="CD110" s="3">
        <v>1</v>
      </c>
      <c r="CE110" s="3">
        <v>0</v>
      </c>
      <c r="CF110" s="3">
        <v>0</v>
      </c>
      <c r="CG110"/>
      <c r="CH110">
        <v>1</v>
      </c>
      <c r="CI110">
        <v>0</v>
      </c>
      <c r="CJ110" s="5">
        <v>0</v>
      </c>
    </row>
    <row r="111" spans="1:88" s="7" customFormat="1" x14ac:dyDescent="0.35">
      <c r="A111" s="3" t="s">
        <v>258</v>
      </c>
      <c r="B111" s="3">
        <v>2</v>
      </c>
      <c r="C111" s="3" t="s">
        <v>211</v>
      </c>
      <c r="D111" s="3">
        <v>0</v>
      </c>
      <c r="E111" s="3">
        <v>2020</v>
      </c>
      <c r="F111" s="3">
        <v>110</v>
      </c>
      <c r="G111" s="3">
        <v>1</v>
      </c>
      <c r="H111" s="3">
        <v>14</v>
      </c>
      <c r="I111" s="3">
        <v>53</v>
      </c>
      <c r="J111" s="3">
        <v>23</v>
      </c>
      <c r="K111" s="3">
        <v>22</v>
      </c>
      <c r="L111" s="3">
        <v>1</v>
      </c>
      <c r="M111" s="3" t="s">
        <v>280</v>
      </c>
      <c r="N111" s="3">
        <v>13</v>
      </c>
      <c r="O111" s="3" t="s">
        <v>260</v>
      </c>
      <c r="P111" s="3" t="s">
        <v>72</v>
      </c>
      <c r="Q111" s="3" t="s">
        <v>74</v>
      </c>
      <c r="R111" s="3">
        <v>0</v>
      </c>
      <c r="S111" s="3">
        <v>0</v>
      </c>
      <c r="T111" s="3">
        <v>0</v>
      </c>
      <c r="U111" s="3" t="s">
        <v>259</v>
      </c>
      <c r="V111" s="3" t="s">
        <v>82</v>
      </c>
      <c r="W111" s="3" t="s">
        <v>201</v>
      </c>
      <c r="X111" s="3">
        <v>1</v>
      </c>
      <c r="Y111" s="3">
        <v>0</v>
      </c>
      <c r="Z111" s="3" t="s">
        <v>84</v>
      </c>
      <c r="AA111" s="3" t="s">
        <v>85</v>
      </c>
      <c r="AB111" s="3" t="s">
        <v>94</v>
      </c>
      <c r="AC111" s="3" t="s">
        <v>86</v>
      </c>
      <c r="AD111" s="3" t="s">
        <v>87</v>
      </c>
      <c r="AE111" s="3">
        <v>0</v>
      </c>
      <c r="AF111" s="3" t="s">
        <v>214</v>
      </c>
      <c r="AG111" s="3" t="s">
        <v>162</v>
      </c>
      <c r="AH111" s="10">
        <f>SUM(BC111,BG111,BP111)</f>
        <v>449</v>
      </c>
      <c r="AI111" s="10">
        <f>SUM(BC111,BG111)</f>
        <v>449</v>
      </c>
      <c r="AJ111" s="10" t="s">
        <v>94</v>
      </c>
      <c r="AK111" s="10">
        <v>1</v>
      </c>
      <c r="AL111" s="3">
        <v>27.1</v>
      </c>
      <c r="AM111" s="3">
        <v>0.41</v>
      </c>
      <c r="AN111" s="3" t="s">
        <v>108</v>
      </c>
      <c r="AO111" s="3" t="s">
        <v>124</v>
      </c>
      <c r="AP111" s="3" t="s">
        <v>125</v>
      </c>
      <c r="AQ111" s="3">
        <v>0</v>
      </c>
      <c r="AR111" s="3">
        <v>0</v>
      </c>
      <c r="AS111" s="3" t="s">
        <v>92</v>
      </c>
      <c r="AT111" s="13" t="s">
        <v>94</v>
      </c>
      <c r="AU111" s="13" t="s">
        <v>94</v>
      </c>
      <c r="AV111" s="12">
        <f>(BD111-AZ111)/(SQRT((BB111^2+BF111^2)/2))</f>
        <v>-5.4296530345383481E-2</v>
      </c>
      <c r="AW111" s="12" t="s">
        <v>94</v>
      </c>
      <c r="AX111" s="12">
        <v>0.67300000000000004</v>
      </c>
      <c r="AY111" s="13"/>
      <c r="AZ111" s="13">
        <v>5.64</v>
      </c>
      <c r="BA111" s="13">
        <v>0.06</v>
      </c>
      <c r="BB111" s="13">
        <v>0.88</v>
      </c>
      <c r="BC111" s="10">
        <v>243</v>
      </c>
      <c r="BD111" s="13">
        <v>5.59</v>
      </c>
      <c r="BE111" s="13">
        <v>7.0000000000000007E-2</v>
      </c>
      <c r="BF111" s="13">
        <v>0.96</v>
      </c>
      <c r="BG111" s="10">
        <v>206</v>
      </c>
      <c r="BH111" s="13"/>
      <c r="BI111" s="10"/>
      <c r="BJ111" s="10"/>
      <c r="BK111" s="10"/>
      <c r="BL111" s="10"/>
      <c r="BM111" s="12" t="s">
        <v>94</v>
      </c>
      <c r="BN111" s="12" t="s">
        <v>94</v>
      </c>
      <c r="BO111" s="12" t="s">
        <v>94</v>
      </c>
      <c r="BP111" s="16" t="s">
        <v>94</v>
      </c>
      <c r="BQ111" s="16" t="s">
        <v>94</v>
      </c>
      <c r="BR111" s="16" t="s">
        <v>94</v>
      </c>
      <c r="BS111" s="3" t="s">
        <v>72</v>
      </c>
      <c r="BT111" s="3" t="s">
        <v>74</v>
      </c>
      <c r="BU111" s="3">
        <v>0</v>
      </c>
      <c r="BV111" s="3">
        <v>0</v>
      </c>
      <c r="BW111" s="3">
        <v>0</v>
      </c>
      <c r="BX111" s="3">
        <v>0</v>
      </c>
      <c r="BY111" s="3">
        <v>0</v>
      </c>
      <c r="BZ111" s="3">
        <v>0</v>
      </c>
      <c r="CA111" s="3">
        <v>0</v>
      </c>
      <c r="CB111" s="3">
        <v>1</v>
      </c>
      <c r="CC111" s="3">
        <v>0</v>
      </c>
      <c r="CD111" s="3">
        <v>1</v>
      </c>
      <c r="CE111" s="3">
        <v>0</v>
      </c>
      <c r="CF111" s="3">
        <v>0</v>
      </c>
      <c r="CG111"/>
      <c r="CH111">
        <v>1</v>
      </c>
      <c r="CI111">
        <v>0</v>
      </c>
      <c r="CJ111" s="5">
        <v>0</v>
      </c>
    </row>
    <row r="112" spans="1:88" s="7" customFormat="1" x14ac:dyDescent="0.35">
      <c r="A112" s="3" t="s">
        <v>258</v>
      </c>
      <c r="B112" s="3">
        <v>2</v>
      </c>
      <c r="C112" s="3" t="s">
        <v>211</v>
      </c>
      <c r="D112" s="3">
        <v>0</v>
      </c>
      <c r="E112" s="3">
        <v>2020</v>
      </c>
      <c r="F112" s="3">
        <v>111</v>
      </c>
      <c r="G112" s="3">
        <v>1</v>
      </c>
      <c r="H112" s="3">
        <v>14</v>
      </c>
      <c r="I112" s="3">
        <v>53</v>
      </c>
      <c r="J112" s="3">
        <v>24</v>
      </c>
      <c r="K112" s="3">
        <v>22</v>
      </c>
      <c r="L112" s="3">
        <v>1</v>
      </c>
      <c r="M112" s="3" t="s">
        <v>280</v>
      </c>
      <c r="N112" s="3">
        <v>13</v>
      </c>
      <c r="O112" s="3" t="s">
        <v>260</v>
      </c>
      <c r="P112" s="3" t="s">
        <v>72</v>
      </c>
      <c r="Q112" s="3" t="s">
        <v>74</v>
      </c>
      <c r="R112" s="3">
        <v>0</v>
      </c>
      <c r="S112" s="3">
        <v>0</v>
      </c>
      <c r="T112" s="3">
        <v>0</v>
      </c>
      <c r="U112" s="3" t="s">
        <v>261</v>
      </c>
      <c r="V112" s="3" t="s">
        <v>82</v>
      </c>
      <c r="W112" s="3" t="s">
        <v>83</v>
      </c>
      <c r="X112" s="3">
        <v>-1</v>
      </c>
      <c r="Y112" s="3">
        <v>0</v>
      </c>
      <c r="Z112" s="3" t="s">
        <v>84</v>
      </c>
      <c r="AA112" s="3" t="s">
        <v>85</v>
      </c>
      <c r="AB112" s="3" t="s">
        <v>94</v>
      </c>
      <c r="AC112" s="3" t="s">
        <v>86</v>
      </c>
      <c r="AD112" s="3" t="s">
        <v>87</v>
      </c>
      <c r="AE112" s="3">
        <v>0</v>
      </c>
      <c r="AF112" s="3" t="s">
        <v>214</v>
      </c>
      <c r="AG112" s="3" t="s">
        <v>162</v>
      </c>
      <c r="AH112" s="10">
        <f>SUM(BC112,BG112,BP112)</f>
        <v>449</v>
      </c>
      <c r="AI112" s="10">
        <f>SUM(BC112,BG112)</f>
        <v>449</v>
      </c>
      <c r="AJ112" s="10" t="s">
        <v>94</v>
      </c>
      <c r="AK112" s="10">
        <v>1</v>
      </c>
      <c r="AL112" s="3">
        <v>27.1</v>
      </c>
      <c r="AM112" s="3">
        <v>0.41</v>
      </c>
      <c r="AN112" s="3" t="s">
        <v>108</v>
      </c>
      <c r="AO112" s="3" t="s">
        <v>124</v>
      </c>
      <c r="AP112" s="3" t="s">
        <v>125</v>
      </c>
      <c r="AQ112" s="3">
        <v>0</v>
      </c>
      <c r="AR112" s="3">
        <v>0</v>
      </c>
      <c r="AS112" s="3" t="s">
        <v>92</v>
      </c>
      <c r="AT112" s="13" t="s">
        <v>94</v>
      </c>
      <c r="AU112" s="13" t="s">
        <v>94</v>
      </c>
      <c r="AV112" s="12">
        <f>(BD112-AZ112)/(SQRT((BB112^2+BF112^2)/2))</f>
        <v>0.10623268974624399</v>
      </c>
      <c r="AW112" s="12" t="s">
        <v>94</v>
      </c>
      <c r="AX112" s="12">
        <v>0.20200000000000001</v>
      </c>
      <c r="AY112" s="13"/>
      <c r="AZ112" s="13">
        <v>29.78</v>
      </c>
      <c r="BA112" s="13">
        <v>1.87</v>
      </c>
      <c r="BB112" s="13">
        <v>29.16</v>
      </c>
      <c r="BC112" s="10">
        <v>243</v>
      </c>
      <c r="BD112" s="13">
        <v>32.81</v>
      </c>
      <c r="BE112" s="13">
        <v>1.94</v>
      </c>
      <c r="BF112" s="13">
        <v>27.87</v>
      </c>
      <c r="BG112" s="10">
        <v>206</v>
      </c>
      <c r="BH112" s="13"/>
      <c r="BI112" s="10"/>
      <c r="BJ112" s="10"/>
      <c r="BK112" s="10"/>
      <c r="BL112" s="10"/>
      <c r="BM112" s="12" t="s">
        <v>94</v>
      </c>
      <c r="BN112" s="12" t="s">
        <v>94</v>
      </c>
      <c r="BO112" s="12" t="s">
        <v>94</v>
      </c>
      <c r="BP112" s="16" t="s">
        <v>94</v>
      </c>
      <c r="BQ112" s="16" t="s">
        <v>94</v>
      </c>
      <c r="BR112" s="16" t="s">
        <v>94</v>
      </c>
      <c r="BS112" s="3" t="s">
        <v>72</v>
      </c>
      <c r="BT112" s="3" t="s">
        <v>74</v>
      </c>
      <c r="BU112" s="3">
        <v>0</v>
      </c>
      <c r="BV112" s="3">
        <v>0</v>
      </c>
      <c r="BW112" s="3">
        <v>0</v>
      </c>
      <c r="BX112" s="3">
        <v>0</v>
      </c>
      <c r="BY112" s="3">
        <v>0</v>
      </c>
      <c r="BZ112" s="3">
        <v>0</v>
      </c>
      <c r="CA112" s="3">
        <v>0</v>
      </c>
      <c r="CB112" s="3">
        <v>1</v>
      </c>
      <c r="CC112" s="3">
        <v>0</v>
      </c>
      <c r="CD112" s="3">
        <v>1</v>
      </c>
      <c r="CE112" s="3">
        <v>0</v>
      </c>
      <c r="CF112" s="3">
        <v>0</v>
      </c>
      <c r="CG112"/>
      <c r="CH112">
        <v>1</v>
      </c>
      <c r="CI112">
        <v>0</v>
      </c>
      <c r="CJ112" s="5">
        <v>0</v>
      </c>
    </row>
    <row r="113" spans="1:88" s="8" customFormat="1" x14ac:dyDescent="0.35">
      <c r="A113" s="3" t="s">
        <v>258</v>
      </c>
      <c r="B113" s="3">
        <v>2</v>
      </c>
      <c r="C113" s="3" t="s">
        <v>211</v>
      </c>
      <c r="D113" s="3">
        <v>0</v>
      </c>
      <c r="E113" s="3">
        <v>2020</v>
      </c>
      <c r="F113" s="3">
        <v>112</v>
      </c>
      <c r="G113" s="3">
        <v>1</v>
      </c>
      <c r="H113" s="3">
        <v>14</v>
      </c>
      <c r="I113" s="3">
        <v>53</v>
      </c>
      <c r="J113" s="3">
        <v>25</v>
      </c>
      <c r="K113" s="3">
        <v>22</v>
      </c>
      <c r="L113" s="3">
        <v>1</v>
      </c>
      <c r="M113" s="3" t="s">
        <v>280</v>
      </c>
      <c r="N113" s="3">
        <v>13</v>
      </c>
      <c r="O113" s="3" t="s">
        <v>260</v>
      </c>
      <c r="P113" s="3" t="s">
        <v>72</v>
      </c>
      <c r="Q113" s="3" t="s">
        <v>74</v>
      </c>
      <c r="R113" s="3">
        <v>0</v>
      </c>
      <c r="S113" s="3">
        <v>0</v>
      </c>
      <c r="T113" s="3">
        <v>0</v>
      </c>
      <c r="U113" s="3" t="s">
        <v>213</v>
      </c>
      <c r="V113" s="3" t="s">
        <v>97</v>
      </c>
      <c r="W113" s="3" t="s">
        <v>97</v>
      </c>
      <c r="X113" s="3">
        <v>1</v>
      </c>
      <c r="Y113" s="3">
        <v>1</v>
      </c>
      <c r="Z113" s="3" t="s">
        <v>84</v>
      </c>
      <c r="AA113" s="3" t="s">
        <v>85</v>
      </c>
      <c r="AB113" s="3" t="s">
        <v>94</v>
      </c>
      <c r="AC113" s="3" t="s">
        <v>86</v>
      </c>
      <c r="AD113" s="3" t="s">
        <v>87</v>
      </c>
      <c r="AE113" s="3">
        <v>0</v>
      </c>
      <c r="AF113" s="3" t="s">
        <v>214</v>
      </c>
      <c r="AG113" s="3" t="s">
        <v>162</v>
      </c>
      <c r="AH113" s="10">
        <f>SUM(BJ113,BL113,BR113)</f>
        <v>420</v>
      </c>
      <c r="AI113" s="10">
        <f>SUM(BJ113,BL113)</f>
        <v>420</v>
      </c>
      <c r="AJ113" s="10" t="s">
        <v>94</v>
      </c>
      <c r="AK113" s="10">
        <v>1</v>
      </c>
      <c r="AL113" s="3">
        <v>27.2</v>
      </c>
      <c r="AM113" s="3">
        <v>0.42</v>
      </c>
      <c r="AN113" s="3" t="s">
        <v>108</v>
      </c>
      <c r="AO113" s="3" t="s">
        <v>124</v>
      </c>
      <c r="AP113" s="3" t="s">
        <v>125</v>
      </c>
      <c r="AQ113" s="3">
        <v>0</v>
      </c>
      <c r="AR113" s="3">
        <v>0</v>
      </c>
      <c r="AS113" s="3" t="s">
        <v>111</v>
      </c>
      <c r="AT113" s="13" t="s">
        <v>94</v>
      </c>
      <c r="AU113" s="13" t="s">
        <v>94</v>
      </c>
      <c r="AV113" s="12">
        <f>LN((BK113/(BL113-BK113))/(BI113/(BJ113-BI113)))*(SQRT(3)/PI())</f>
        <v>0.18159839097930905</v>
      </c>
      <c r="AW113" s="12" t="s">
        <v>94</v>
      </c>
      <c r="AX113" s="12">
        <v>8.4000000000000005E-2</v>
      </c>
      <c r="AY113" s="13"/>
      <c r="AZ113" s="13"/>
      <c r="BA113" s="13"/>
      <c r="BB113" s="13"/>
      <c r="BC113" s="10"/>
      <c r="BD113" s="13"/>
      <c r="BE113" s="13"/>
      <c r="BF113" s="13"/>
      <c r="BG113" s="10"/>
      <c r="BH113" s="13"/>
      <c r="BI113" s="16">
        <f>0.481*BJ113</f>
        <v>101.00999999999999</v>
      </c>
      <c r="BJ113" s="16">
        <v>210</v>
      </c>
      <c r="BK113" s="16">
        <f>0.563*BL113</f>
        <v>118.22999999999999</v>
      </c>
      <c r="BL113" s="16">
        <v>210</v>
      </c>
      <c r="BM113" s="12" t="s">
        <v>94</v>
      </c>
      <c r="BN113" s="12" t="s">
        <v>94</v>
      </c>
      <c r="BO113" s="12" t="s">
        <v>94</v>
      </c>
      <c r="BP113" s="16" t="s">
        <v>94</v>
      </c>
      <c r="BQ113" s="16" t="s">
        <v>94</v>
      </c>
      <c r="BR113" s="16" t="s">
        <v>94</v>
      </c>
      <c r="BS113" s="3" t="s">
        <v>72</v>
      </c>
      <c r="BT113" s="3" t="s">
        <v>74</v>
      </c>
      <c r="BU113" s="3">
        <v>0</v>
      </c>
      <c r="BV113" s="3">
        <v>0</v>
      </c>
      <c r="BW113" s="3">
        <v>0</v>
      </c>
      <c r="BX113" s="3">
        <v>0</v>
      </c>
      <c r="BY113" s="3">
        <v>0</v>
      </c>
      <c r="BZ113" s="3">
        <v>0</v>
      </c>
      <c r="CA113" s="3">
        <v>0</v>
      </c>
      <c r="CB113" s="3">
        <v>1</v>
      </c>
      <c r="CC113" s="3">
        <v>0</v>
      </c>
      <c r="CD113" s="3">
        <v>1</v>
      </c>
      <c r="CE113" s="3">
        <v>0</v>
      </c>
      <c r="CF113" s="3">
        <v>0</v>
      </c>
      <c r="CG113"/>
      <c r="CH113">
        <v>1</v>
      </c>
      <c r="CI113">
        <v>0</v>
      </c>
      <c r="CJ113" s="5">
        <v>0</v>
      </c>
    </row>
    <row r="114" spans="1:88" s="8" customFormat="1" x14ac:dyDescent="0.35">
      <c r="A114" s="3" t="s">
        <v>258</v>
      </c>
      <c r="B114" s="3">
        <v>2</v>
      </c>
      <c r="C114" s="3" t="s">
        <v>211</v>
      </c>
      <c r="D114" s="3">
        <v>0</v>
      </c>
      <c r="E114" s="3">
        <v>2020</v>
      </c>
      <c r="F114" s="3">
        <v>113</v>
      </c>
      <c r="G114" s="3">
        <v>1</v>
      </c>
      <c r="H114" s="3">
        <v>14</v>
      </c>
      <c r="I114" s="3">
        <v>54</v>
      </c>
      <c r="J114" s="3">
        <v>23</v>
      </c>
      <c r="K114" s="3">
        <v>22</v>
      </c>
      <c r="L114" s="3">
        <v>1</v>
      </c>
      <c r="M114" s="3" t="s">
        <v>280</v>
      </c>
      <c r="N114" s="3">
        <v>14</v>
      </c>
      <c r="O114" s="3" t="s">
        <v>255</v>
      </c>
      <c r="P114" s="3" t="s">
        <v>72</v>
      </c>
      <c r="Q114" s="3" t="s">
        <v>74</v>
      </c>
      <c r="R114" s="3" t="s">
        <v>71</v>
      </c>
      <c r="S114" s="3">
        <v>0</v>
      </c>
      <c r="T114" s="3">
        <v>0</v>
      </c>
      <c r="U114" s="3" t="s">
        <v>259</v>
      </c>
      <c r="V114" s="3" t="s">
        <v>82</v>
      </c>
      <c r="W114" s="3" t="s">
        <v>201</v>
      </c>
      <c r="X114" s="3">
        <v>1</v>
      </c>
      <c r="Y114" s="3">
        <v>0</v>
      </c>
      <c r="Z114" s="3" t="s">
        <v>84</v>
      </c>
      <c r="AA114" s="3" t="s">
        <v>85</v>
      </c>
      <c r="AB114" s="3" t="s">
        <v>94</v>
      </c>
      <c r="AC114" s="3" t="s">
        <v>86</v>
      </c>
      <c r="AD114" s="3" t="s">
        <v>87</v>
      </c>
      <c r="AE114" s="3">
        <v>0</v>
      </c>
      <c r="AF114" s="3" t="s">
        <v>214</v>
      </c>
      <c r="AG114" s="3" t="s">
        <v>162</v>
      </c>
      <c r="AH114" s="10">
        <f>SUM(BC114,BG114,BP114)</f>
        <v>424</v>
      </c>
      <c r="AI114" s="10">
        <f>SUM(BC114,BG114)</f>
        <v>424</v>
      </c>
      <c r="AJ114" s="10" t="s">
        <v>94</v>
      </c>
      <c r="AK114" s="10">
        <v>1</v>
      </c>
      <c r="AL114" s="3">
        <v>27.1</v>
      </c>
      <c r="AM114" s="3">
        <v>0.41</v>
      </c>
      <c r="AN114" s="3" t="s">
        <v>108</v>
      </c>
      <c r="AO114" s="3" t="s">
        <v>124</v>
      </c>
      <c r="AP114" s="3" t="s">
        <v>125</v>
      </c>
      <c r="AQ114" s="3">
        <v>0</v>
      </c>
      <c r="AR114" s="3">
        <v>0</v>
      </c>
      <c r="AS114" s="3" t="s">
        <v>92</v>
      </c>
      <c r="AT114" s="13" t="s">
        <v>94</v>
      </c>
      <c r="AU114" s="13" t="s">
        <v>94</v>
      </c>
      <c r="AV114" s="12">
        <f>(BD114-AZ114)/(SQRT((BB114^2+BF114^2)/2))</f>
        <v>-7.82013082869117E-2</v>
      </c>
      <c r="AW114" s="12" t="s">
        <v>94</v>
      </c>
      <c r="AX114" s="12">
        <v>0.67300000000000004</v>
      </c>
      <c r="AY114" s="13"/>
      <c r="AZ114" s="13">
        <v>5.64</v>
      </c>
      <c r="BA114" s="13">
        <v>0.06</v>
      </c>
      <c r="BB114" s="13">
        <v>0.88</v>
      </c>
      <c r="BC114" s="10">
        <v>243</v>
      </c>
      <c r="BD114" s="13">
        <v>5.57</v>
      </c>
      <c r="BE114" s="13">
        <v>7.0000000000000007E-2</v>
      </c>
      <c r="BF114" s="13">
        <v>0.91</v>
      </c>
      <c r="BG114" s="10">
        <v>181</v>
      </c>
      <c r="BH114" s="13"/>
      <c r="BI114" s="10"/>
      <c r="BJ114" s="10"/>
      <c r="BK114" s="10"/>
      <c r="BL114" s="10"/>
      <c r="BM114" s="12" t="s">
        <v>94</v>
      </c>
      <c r="BN114" s="12" t="s">
        <v>94</v>
      </c>
      <c r="BO114" s="12" t="s">
        <v>94</v>
      </c>
      <c r="BP114" s="16" t="s">
        <v>94</v>
      </c>
      <c r="BQ114" s="16" t="s">
        <v>94</v>
      </c>
      <c r="BR114" s="16" t="s">
        <v>94</v>
      </c>
      <c r="BS114" s="3" t="s">
        <v>72</v>
      </c>
      <c r="BT114" s="3" t="s">
        <v>74</v>
      </c>
      <c r="BU114" s="3" t="s">
        <v>71</v>
      </c>
      <c r="BV114" s="3">
        <v>0</v>
      </c>
      <c r="BW114" s="3">
        <v>0</v>
      </c>
      <c r="BX114" s="3">
        <v>0</v>
      </c>
      <c r="BY114" s="3">
        <v>0</v>
      </c>
      <c r="BZ114" s="3">
        <v>0</v>
      </c>
      <c r="CA114" s="3">
        <v>1</v>
      </c>
      <c r="CB114" s="3">
        <v>1</v>
      </c>
      <c r="CC114" s="3">
        <v>0</v>
      </c>
      <c r="CD114" s="3">
        <v>1</v>
      </c>
      <c r="CE114" s="3">
        <v>0</v>
      </c>
      <c r="CF114" s="3">
        <v>0</v>
      </c>
      <c r="CG114"/>
      <c r="CH114">
        <v>1</v>
      </c>
      <c r="CI114">
        <v>0</v>
      </c>
      <c r="CJ114" s="5">
        <v>0</v>
      </c>
    </row>
    <row r="115" spans="1:88" s="8" customFormat="1" x14ac:dyDescent="0.35">
      <c r="A115" s="3" t="s">
        <v>258</v>
      </c>
      <c r="B115" s="3">
        <v>2</v>
      </c>
      <c r="C115" s="3" t="s">
        <v>211</v>
      </c>
      <c r="D115" s="3">
        <v>0</v>
      </c>
      <c r="E115" s="3">
        <v>2020</v>
      </c>
      <c r="F115" s="3">
        <v>114</v>
      </c>
      <c r="G115" s="3">
        <v>1</v>
      </c>
      <c r="H115" s="3">
        <v>14</v>
      </c>
      <c r="I115" s="3">
        <v>54</v>
      </c>
      <c r="J115" s="3">
        <v>22</v>
      </c>
      <c r="K115" s="3">
        <v>22</v>
      </c>
      <c r="L115" s="3">
        <v>1</v>
      </c>
      <c r="M115" s="3" t="s">
        <v>280</v>
      </c>
      <c r="N115" s="3">
        <v>14</v>
      </c>
      <c r="O115" s="3" t="s">
        <v>255</v>
      </c>
      <c r="P115" s="3" t="s">
        <v>72</v>
      </c>
      <c r="Q115" s="3" t="s">
        <v>74</v>
      </c>
      <c r="R115" s="3" t="s">
        <v>71</v>
      </c>
      <c r="S115" s="3">
        <v>0</v>
      </c>
      <c r="T115" s="3">
        <v>0</v>
      </c>
      <c r="U115" s="3" t="s">
        <v>208</v>
      </c>
      <c r="V115" s="3" t="s">
        <v>82</v>
      </c>
      <c r="W115" s="3" t="s">
        <v>83</v>
      </c>
      <c r="X115" s="3">
        <v>1</v>
      </c>
      <c r="Y115" s="3">
        <v>0</v>
      </c>
      <c r="Z115" s="3" t="s">
        <v>84</v>
      </c>
      <c r="AA115" s="3" t="s">
        <v>85</v>
      </c>
      <c r="AB115" s="3" t="s">
        <v>94</v>
      </c>
      <c r="AC115" s="3" t="s">
        <v>86</v>
      </c>
      <c r="AD115" s="3" t="s">
        <v>87</v>
      </c>
      <c r="AE115" s="3">
        <v>0</v>
      </c>
      <c r="AF115" s="3" t="s">
        <v>214</v>
      </c>
      <c r="AG115" s="3" t="s">
        <v>162</v>
      </c>
      <c r="AH115" s="10">
        <f>SUM(BC115,BG115,BP115)</f>
        <v>424</v>
      </c>
      <c r="AI115" s="10">
        <f>SUM(BC115,BG115)</f>
        <v>424</v>
      </c>
      <c r="AJ115" s="10" t="s">
        <v>94</v>
      </c>
      <c r="AK115" s="10">
        <v>1</v>
      </c>
      <c r="AL115" s="3">
        <v>27.1</v>
      </c>
      <c r="AM115" s="3">
        <v>0.41</v>
      </c>
      <c r="AN115" s="3" t="s">
        <v>108</v>
      </c>
      <c r="AO115" s="3" t="s">
        <v>124</v>
      </c>
      <c r="AP115" s="3" t="s">
        <v>125</v>
      </c>
      <c r="AQ115" s="3">
        <v>0</v>
      </c>
      <c r="AR115" s="3">
        <v>0</v>
      </c>
      <c r="AS115" s="3" t="s">
        <v>92</v>
      </c>
      <c r="AT115" s="13" t="s">
        <v>94</v>
      </c>
      <c r="AU115" s="13" t="s">
        <v>94</v>
      </c>
      <c r="AV115" s="12">
        <f>(BD115-AZ115)/(SQRT((BB115^2+BF115^2)/2))</f>
        <v>0.15151515151515099</v>
      </c>
      <c r="AW115" s="12" t="s">
        <v>94</v>
      </c>
      <c r="AX115" s="12">
        <v>0.26800000000000002</v>
      </c>
      <c r="AY115" s="13"/>
      <c r="AZ115" s="13">
        <v>5.2</v>
      </c>
      <c r="BA115" s="13"/>
      <c r="BB115" s="13">
        <v>0.99</v>
      </c>
      <c r="BC115" s="10">
        <v>243</v>
      </c>
      <c r="BD115" s="13">
        <v>5.35</v>
      </c>
      <c r="BE115" s="13"/>
      <c r="BF115" s="13">
        <v>0.99</v>
      </c>
      <c r="BG115" s="10">
        <v>181</v>
      </c>
      <c r="BH115" s="13"/>
      <c r="BI115" s="10"/>
      <c r="BJ115" s="10"/>
      <c r="BK115" s="10"/>
      <c r="BL115" s="10"/>
      <c r="BM115" s="12" t="s">
        <v>94</v>
      </c>
      <c r="BN115" s="12" t="s">
        <v>94</v>
      </c>
      <c r="BO115" s="12" t="s">
        <v>94</v>
      </c>
      <c r="BP115" s="16" t="s">
        <v>94</v>
      </c>
      <c r="BQ115" s="16" t="s">
        <v>94</v>
      </c>
      <c r="BR115" s="16" t="s">
        <v>94</v>
      </c>
      <c r="BS115" s="3" t="s">
        <v>72</v>
      </c>
      <c r="BT115" s="3" t="s">
        <v>74</v>
      </c>
      <c r="BU115" s="3" t="s">
        <v>71</v>
      </c>
      <c r="BV115" s="3">
        <v>0</v>
      </c>
      <c r="BW115" s="3">
        <v>0</v>
      </c>
      <c r="BX115" s="3">
        <v>0</v>
      </c>
      <c r="BY115" s="3">
        <v>0</v>
      </c>
      <c r="BZ115" s="3">
        <v>0</v>
      </c>
      <c r="CA115" s="3">
        <v>1</v>
      </c>
      <c r="CB115" s="3">
        <v>1</v>
      </c>
      <c r="CC115" s="3">
        <v>0</v>
      </c>
      <c r="CD115" s="3">
        <v>1</v>
      </c>
      <c r="CE115" s="3">
        <v>0</v>
      </c>
      <c r="CF115" s="3">
        <v>0</v>
      </c>
      <c r="CG115"/>
      <c r="CH115">
        <v>1</v>
      </c>
      <c r="CI115">
        <v>0</v>
      </c>
      <c r="CJ115" s="5">
        <v>0</v>
      </c>
    </row>
    <row r="116" spans="1:88" s="8" customFormat="1" x14ac:dyDescent="0.35">
      <c r="A116" s="3" t="s">
        <v>258</v>
      </c>
      <c r="B116" s="3">
        <v>2</v>
      </c>
      <c r="C116" s="3" t="s">
        <v>211</v>
      </c>
      <c r="D116" s="3">
        <v>0</v>
      </c>
      <c r="E116" s="3">
        <v>2020</v>
      </c>
      <c r="F116" s="3">
        <v>115</v>
      </c>
      <c r="G116" s="3">
        <v>1</v>
      </c>
      <c r="H116" s="3">
        <v>14</v>
      </c>
      <c r="I116" s="3">
        <v>54</v>
      </c>
      <c r="J116" s="3">
        <v>25</v>
      </c>
      <c r="K116" s="3">
        <v>22</v>
      </c>
      <c r="L116" s="3">
        <v>1</v>
      </c>
      <c r="M116" s="3" t="s">
        <v>280</v>
      </c>
      <c r="N116" s="3">
        <v>14</v>
      </c>
      <c r="O116" s="3" t="s">
        <v>255</v>
      </c>
      <c r="P116" s="3" t="s">
        <v>72</v>
      </c>
      <c r="Q116" s="3" t="s">
        <v>74</v>
      </c>
      <c r="R116" s="3" t="s">
        <v>71</v>
      </c>
      <c r="S116" s="3">
        <v>0</v>
      </c>
      <c r="T116" s="3">
        <v>0</v>
      </c>
      <c r="U116" s="3" t="s">
        <v>213</v>
      </c>
      <c r="V116" s="3" t="s">
        <v>97</v>
      </c>
      <c r="W116" s="3" t="s">
        <v>97</v>
      </c>
      <c r="X116" s="3">
        <v>1</v>
      </c>
      <c r="Y116" s="3">
        <v>1</v>
      </c>
      <c r="Z116" s="3" t="s">
        <v>84</v>
      </c>
      <c r="AA116" s="3" t="s">
        <v>85</v>
      </c>
      <c r="AB116" s="3" t="s">
        <v>94</v>
      </c>
      <c r="AC116" s="3" t="s">
        <v>86</v>
      </c>
      <c r="AD116" s="3" t="s">
        <v>87</v>
      </c>
      <c r="AE116" s="3">
        <v>0</v>
      </c>
      <c r="AF116" s="3" t="s">
        <v>214</v>
      </c>
      <c r="AG116" s="3" t="s">
        <v>162</v>
      </c>
      <c r="AH116" s="10">
        <f>SUM(BJ116,BL116,BR116)</f>
        <v>420</v>
      </c>
      <c r="AI116" s="10">
        <f>SUM(BJ116,BL116)</f>
        <v>420</v>
      </c>
      <c r="AJ116" s="10" t="s">
        <v>94</v>
      </c>
      <c r="AK116" s="10">
        <v>1</v>
      </c>
      <c r="AL116" s="3">
        <v>27.3</v>
      </c>
      <c r="AM116" s="3">
        <v>0.43</v>
      </c>
      <c r="AN116" s="3" t="s">
        <v>108</v>
      </c>
      <c r="AO116" s="3" t="s">
        <v>124</v>
      </c>
      <c r="AP116" s="3" t="s">
        <v>125</v>
      </c>
      <c r="AQ116" s="3">
        <v>0</v>
      </c>
      <c r="AR116" s="3">
        <v>0</v>
      </c>
      <c r="AS116" s="3" t="s">
        <v>111</v>
      </c>
      <c r="AT116" s="13" t="s">
        <v>94</v>
      </c>
      <c r="AU116" s="13" t="s">
        <v>94</v>
      </c>
      <c r="AV116" s="12">
        <f>LN((BK116/(BL116-BK116))/(BI116/(BJ116-BI116)))*(SQRT(3)/PI())</f>
        <v>8.3842363780108661E-2</v>
      </c>
      <c r="AW116" s="12" t="s">
        <v>94</v>
      </c>
      <c r="AX116" s="12">
        <v>8.4000000000000005E-2</v>
      </c>
      <c r="AY116" s="13"/>
      <c r="AZ116" s="13"/>
      <c r="BA116" s="13"/>
      <c r="BB116" s="13"/>
      <c r="BC116" s="10"/>
      <c r="BD116" s="13"/>
      <c r="BE116" s="13"/>
      <c r="BF116" s="13"/>
      <c r="BG116" s="10"/>
      <c r="BH116" s="13"/>
      <c r="BI116" s="16">
        <f>0.481*BJ116</f>
        <v>101.00999999999999</v>
      </c>
      <c r="BJ116" s="16">
        <v>210</v>
      </c>
      <c r="BK116" s="16">
        <f>0.519*BL116</f>
        <v>108.99000000000001</v>
      </c>
      <c r="BL116" s="16">
        <v>210</v>
      </c>
      <c r="BM116" s="12" t="s">
        <v>94</v>
      </c>
      <c r="BN116" s="12" t="s">
        <v>94</v>
      </c>
      <c r="BO116" s="12" t="s">
        <v>94</v>
      </c>
      <c r="BP116" s="16" t="s">
        <v>94</v>
      </c>
      <c r="BQ116" s="16" t="s">
        <v>94</v>
      </c>
      <c r="BR116" s="16" t="s">
        <v>94</v>
      </c>
      <c r="BS116" s="3" t="s">
        <v>72</v>
      </c>
      <c r="BT116" s="3" t="s">
        <v>74</v>
      </c>
      <c r="BU116" s="3" t="s">
        <v>71</v>
      </c>
      <c r="BV116" s="3">
        <v>0</v>
      </c>
      <c r="BW116" s="3">
        <v>0</v>
      </c>
      <c r="BX116" s="3">
        <v>0</v>
      </c>
      <c r="BY116" s="3">
        <v>0</v>
      </c>
      <c r="BZ116" s="3">
        <v>0</v>
      </c>
      <c r="CA116" s="3">
        <v>1</v>
      </c>
      <c r="CB116" s="3">
        <v>1</v>
      </c>
      <c r="CC116" s="3">
        <v>0</v>
      </c>
      <c r="CD116" s="3">
        <v>1</v>
      </c>
      <c r="CE116" s="3">
        <v>0</v>
      </c>
      <c r="CF116" s="3">
        <v>0</v>
      </c>
      <c r="CG116"/>
      <c r="CH116">
        <v>1</v>
      </c>
      <c r="CI116">
        <v>0</v>
      </c>
      <c r="CJ116" s="5">
        <v>0</v>
      </c>
    </row>
    <row r="117" spans="1:88" s="7" customFormat="1" x14ac:dyDescent="0.35">
      <c r="A117" s="3" t="s">
        <v>258</v>
      </c>
      <c r="B117" s="3">
        <v>2</v>
      </c>
      <c r="C117" s="3" t="s">
        <v>211</v>
      </c>
      <c r="D117" s="3">
        <v>0</v>
      </c>
      <c r="E117" s="3">
        <v>2020</v>
      </c>
      <c r="F117" s="3">
        <v>116</v>
      </c>
      <c r="G117" s="3">
        <v>1</v>
      </c>
      <c r="H117" s="3">
        <v>14</v>
      </c>
      <c r="I117" s="3">
        <v>54</v>
      </c>
      <c r="J117" s="3">
        <v>24</v>
      </c>
      <c r="K117" s="3">
        <v>22</v>
      </c>
      <c r="L117" s="3">
        <v>1</v>
      </c>
      <c r="M117" s="3" t="s">
        <v>280</v>
      </c>
      <c r="N117" s="3">
        <v>14</v>
      </c>
      <c r="O117" s="3" t="s">
        <v>255</v>
      </c>
      <c r="P117" s="3" t="s">
        <v>72</v>
      </c>
      <c r="Q117" s="3" t="s">
        <v>74</v>
      </c>
      <c r="R117" s="3" t="s">
        <v>71</v>
      </c>
      <c r="S117" s="3">
        <v>0</v>
      </c>
      <c r="T117" s="3">
        <v>0</v>
      </c>
      <c r="U117" s="3" t="s">
        <v>261</v>
      </c>
      <c r="V117" s="3" t="s">
        <v>82</v>
      </c>
      <c r="W117" s="3" t="s">
        <v>83</v>
      </c>
      <c r="X117" s="3">
        <v>-1</v>
      </c>
      <c r="Y117" s="3">
        <v>0</v>
      </c>
      <c r="Z117" s="3" t="s">
        <v>84</v>
      </c>
      <c r="AA117" s="3" t="s">
        <v>85</v>
      </c>
      <c r="AB117" s="3" t="s">
        <v>94</v>
      </c>
      <c r="AC117" s="3" t="s">
        <v>86</v>
      </c>
      <c r="AD117" s="3" t="s">
        <v>87</v>
      </c>
      <c r="AE117" s="3">
        <v>0</v>
      </c>
      <c r="AF117" s="3" t="s">
        <v>214</v>
      </c>
      <c r="AG117" s="3" t="s">
        <v>162</v>
      </c>
      <c r="AH117" s="10">
        <f>SUM(BC117,BG117,BP117)</f>
        <v>424</v>
      </c>
      <c r="AI117" s="10">
        <f>SUM(BC117,BG117)</f>
        <v>424</v>
      </c>
      <c r="AJ117" s="10" t="s">
        <v>94</v>
      </c>
      <c r="AK117" s="10">
        <v>1</v>
      </c>
      <c r="AL117" s="3">
        <v>27.1</v>
      </c>
      <c r="AM117" s="3">
        <v>0.41</v>
      </c>
      <c r="AN117" s="3" t="s">
        <v>108</v>
      </c>
      <c r="AO117" s="3" t="s">
        <v>124</v>
      </c>
      <c r="AP117" s="3" t="s">
        <v>125</v>
      </c>
      <c r="AQ117" s="3">
        <v>0</v>
      </c>
      <c r="AR117" s="3">
        <v>0</v>
      </c>
      <c r="AS117" s="3" t="s">
        <v>92</v>
      </c>
      <c r="AT117" s="13" t="s">
        <v>94</v>
      </c>
      <c r="AU117" s="13" t="s">
        <v>94</v>
      </c>
      <c r="AV117" s="12">
        <f>(BD117-AZ117)/(SQRT((BB117^2+BF117^2)/2))</f>
        <v>0.16924498198779686</v>
      </c>
      <c r="AW117" s="12" t="s">
        <v>94</v>
      </c>
      <c r="AX117" s="12">
        <v>0.20200000000000001</v>
      </c>
      <c r="AY117" s="13"/>
      <c r="AZ117" s="13">
        <v>29.78</v>
      </c>
      <c r="BA117" s="13">
        <v>1.87</v>
      </c>
      <c r="BB117" s="13">
        <v>29.16</v>
      </c>
      <c r="BC117" s="10">
        <v>243</v>
      </c>
      <c r="BD117" s="13">
        <v>34.75</v>
      </c>
      <c r="BE117" s="13">
        <v>2.2000000000000002</v>
      </c>
      <c r="BF117" s="13">
        <v>29.57</v>
      </c>
      <c r="BG117" s="10">
        <v>181</v>
      </c>
      <c r="BH117" s="13"/>
      <c r="BI117" s="10"/>
      <c r="BJ117" s="10"/>
      <c r="BK117" s="10"/>
      <c r="BL117" s="10"/>
      <c r="BM117" s="12" t="s">
        <v>94</v>
      </c>
      <c r="BN117" s="12" t="s">
        <v>94</v>
      </c>
      <c r="BO117" s="12" t="s">
        <v>94</v>
      </c>
      <c r="BP117" s="16" t="s">
        <v>94</v>
      </c>
      <c r="BQ117" s="16" t="s">
        <v>94</v>
      </c>
      <c r="BR117" s="16" t="s">
        <v>94</v>
      </c>
      <c r="BS117" s="3" t="s">
        <v>72</v>
      </c>
      <c r="BT117" s="3" t="s">
        <v>74</v>
      </c>
      <c r="BU117" s="3" t="s">
        <v>71</v>
      </c>
      <c r="BV117" s="3">
        <v>0</v>
      </c>
      <c r="BW117" s="3">
        <v>0</v>
      </c>
      <c r="BX117" s="3">
        <v>0</v>
      </c>
      <c r="BY117" s="3">
        <v>0</v>
      </c>
      <c r="BZ117" s="3">
        <v>0</v>
      </c>
      <c r="CA117" s="3">
        <v>1</v>
      </c>
      <c r="CB117" s="3">
        <v>1</v>
      </c>
      <c r="CC117" s="3">
        <v>0</v>
      </c>
      <c r="CD117" s="3">
        <v>1</v>
      </c>
      <c r="CE117" s="3">
        <v>0</v>
      </c>
      <c r="CF117" s="3">
        <v>0</v>
      </c>
      <c r="CG117"/>
      <c r="CH117">
        <v>1</v>
      </c>
      <c r="CI117">
        <v>0</v>
      </c>
      <c r="CJ117" s="5">
        <v>0</v>
      </c>
    </row>
    <row r="118" spans="1:88" s="7" customFormat="1" x14ac:dyDescent="0.35">
      <c r="A118" s="3" t="s">
        <v>262</v>
      </c>
      <c r="B118" s="3">
        <v>2</v>
      </c>
      <c r="C118" s="3" t="s">
        <v>263</v>
      </c>
      <c r="D118" s="3">
        <v>1</v>
      </c>
      <c r="E118" s="3">
        <v>2022</v>
      </c>
      <c r="F118" s="3">
        <v>117</v>
      </c>
      <c r="G118" s="3">
        <v>1</v>
      </c>
      <c r="H118" s="3">
        <v>31</v>
      </c>
      <c r="I118" s="3">
        <v>55</v>
      </c>
      <c r="J118" s="3">
        <v>69</v>
      </c>
      <c r="K118" s="3">
        <v>23</v>
      </c>
      <c r="L118" s="3">
        <v>1</v>
      </c>
      <c r="M118" s="3" t="s">
        <v>280</v>
      </c>
      <c r="N118" s="3">
        <v>30</v>
      </c>
      <c r="O118" s="3" t="s">
        <v>264</v>
      </c>
      <c r="P118" s="3"/>
      <c r="Q118" s="3"/>
      <c r="R118" s="3"/>
      <c r="S118" s="3"/>
      <c r="T118" s="3"/>
      <c r="U118" s="3" t="s">
        <v>265</v>
      </c>
      <c r="V118" s="3" t="s">
        <v>97</v>
      </c>
      <c r="W118" s="3" t="s">
        <v>97</v>
      </c>
      <c r="X118" s="3">
        <v>1</v>
      </c>
      <c r="Y118" s="3">
        <v>1</v>
      </c>
      <c r="Z118" s="3" t="s">
        <v>266</v>
      </c>
      <c r="AA118" s="3">
        <v>0</v>
      </c>
      <c r="AB118" s="3" t="s">
        <v>94</v>
      </c>
      <c r="AC118" s="3" t="s">
        <v>86</v>
      </c>
      <c r="AD118" s="3" t="s">
        <v>267</v>
      </c>
      <c r="AE118" s="3">
        <v>0</v>
      </c>
      <c r="AF118" s="3" t="s">
        <v>88</v>
      </c>
      <c r="AG118" s="3" t="s">
        <v>88</v>
      </c>
      <c r="AH118" s="10">
        <f>SUM(BJ118,BL118,BR118)</f>
        <v>1842</v>
      </c>
      <c r="AI118" s="10">
        <f>SUM(BJ118,BL118)</f>
        <v>1219</v>
      </c>
      <c r="AJ118" s="10">
        <f>SUM(BJ118,BR118)</f>
        <v>1236</v>
      </c>
      <c r="AK118" s="10">
        <v>1</v>
      </c>
      <c r="AL118" s="3" t="s">
        <v>94</v>
      </c>
      <c r="AM118" s="3" t="s">
        <v>94</v>
      </c>
      <c r="AN118" s="3" t="s">
        <v>108</v>
      </c>
      <c r="AO118" s="3" t="s">
        <v>124</v>
      </c>
      <c r="AP118" s="3" t="s">
        <v>125</v>
      </c>
      <c r="AQ118" s="3">
        <v>0</v>
      </c>
      <c r="AR118" s="3">
        <v>0</v>
      </c>
      <c r="AS118" s="3" t="s">
        <v>111</v>
      </c>
      <c r="AT118" s="13" t="s">
        <v>94</v>
      </c>
      <c r="AU118" s="13" t="s">
        <v>94</v>
      </c>
      <c r="AV118" s="12">
        <f>LN((BK118/(BL118-BK118))/(BI118/(BJ118-BI118)))*(SQRT(3)/PI())</f>
        <v>1.8261220732693137E-2</v>
      </c>
      <c r="AW118" s="12">
        <f>LN((BI118/(BJ118-BI118))/(BQ118/(BR118-BQ118)))*(SQRT(3)/PI())</f>
        <v>-1.5972406023100447E-2</v>
      </c>
      <c r="AX118" s="12">
        <v>0.59399999999999997</v>
      </c>
      <c r="AY118" s="13"/>
      <c r="AZ118" s="13"/>
      <c r="BA118" s="13"/>
      <c r="BB118" s="13"/>
      <c r="BC118" s="10"/>
      <c r="BD118" s="13"/>
      <c r="BE118" s="13"/>
      <c r="BF118" s="13"/>
      <c r="BG118" s="10"/>
      <c r="BH118" s="13"/>
      <c r="BI118" s="16">
        <f>0.588*BJ118</f>
        <v>360.44399999999996</v>
      </c>
      <c r="BJ118" s="16">
        <v>613</v>
      </c>
      <c r="BK118" s="16">
        <f>0.596*BL118</f>
        <v>361.17599999999999</v>
      </c>
      <c r="BL118" s="16">
        <v>606</v>
      </c>
      <c r="BM118" s="12"/>
      <c r="BN118" s="12"/>
      <c r="BO118" s="12"/>
      <c r="BP118" s="16"/>
      <c r="BQ118" s="16">
        <f>0.595*BR118</f>
        <v>370.685</v>
      </c>
      <c r="BR118" s="16">
        <v>623</v>
      </c>
      <c r="BS118" s="3" t="s">
        <v>74</v>
      </c>
      <c r="BT118" s="3">
        <v>0</v>
      </c>
      <c r="BU118" s="3">
        <v>0</v>
      </c>
      <c r="BV118" s="3">
        <v>0</v>
      </c>
      <c r="BW118" s="3">
        <v>0</v>
      </c>
      <c r="BX118" s="3">
        <v>0</v>
      </c>
      <c r="BY118" s="3">
        <v>0</v>
      </c>
      <c r="BZ118" s="3">
        <v>0</v>
      </c>
      <c r="CA118" s="3">
        <v>0</v>
      </c>
      <c r="CB118" s="3">
        <v>0</v>
      </c>
      <c r="CC118" s="3">
        <v>0</v>
      </c>
      <c r="CD118" s="3">
        <v>1</v>
      </c>
      <c r="CE118" s="3">
        <v>0</v>
      </c>
      <c r="CF118" s="3">
        <v>0</v>
      </c>
      <c r="CG118"/>
      <c r="CH118">
        <v>1</v>
      </c>
      <c r="CI118">
        <v>0</v>
      </c>
      <c r="CJ118">
        <v>1</v>
      </c>
    </row>
    <row r="119" spans="1:88" x14ac:dyDescent="0.3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S119" s="4"/>
      <c r="BT119" s="4"/>
      <c r="BU119" s="4"/>
      <c r="BV119" s="4"/>
      <c r="BW119" s="4"/>
      <c r="BX119" s="4"/>
      <c r="BY119" s="4"/>
      <c r="BZ119" s="4"/>
      <c r="CA119" s="4"/>
      <c r="CB119" s="4"/>
      <c r="CC119" s="4"/>
      <c r="CD119" s="4"/>
      <c r="CE119" s="4"/>
      <c r="CF119" s="4"/>
    </row>
    <row r="120" spans="1:88"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S120" s="4"/>
      <c r="BT120" s="4"/>
      <c r="BU120" s="4"/>
      <c r="BV120" s="4"/>
      <c r="BW120" s="4"/>
      <c r="BX120" s="4"/>
      <c r="BY120" s="4"/>
      <c r="BZ120" s="4"/>
      <c r="CA120" s="4"/>
      <c r="CB120" s="4"/>
      <c r="CC120" s="4"/>
      <c r="CD120" s="4"/>
      <c r="CE120" s="4"/>
      <c r="CF120" s="4"/>
    </row>
    <row r="121" spans="1:88" x14ac:dyDescent="0.3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12"/>
      <c r="AW121" s="4"/>
      <c r="AX121" s="4"/>
      <c r="AY121" s="4"/>
      <c r="AZ121" s="4"/>
      <c r="BA121" s="4"/>
      <c r="BB121" s="4"/>
      <c r="BC121" s="4"/>
      <c r="BD121" s="4"/>
      <c r="BE121" s="4"/>
      <c r="BF121" s="4"/>
      <c r="BG121" s="4"/>
      <c r="BH121" s="4"/>
      <c r="BI121" s="4"/>
      <c r="BJ121" s="4"/>
      <c r="BK121" s="4"/>
      <c r="BL121" s="4"/>
      <c r="BS121" s="4"/>
      <c r="BT121" s="4"/>
      <c r="BU121" s="4"/>
      <c r="BV121" s="4"/>
      <c r="BW121" s="4"/>
      <c r="BX121" s="4"/>
      <c r="BY121" s="4"/>
      <c r="BZ121" s="4"/>
      <c r="CA121" s="4"/>
      <c r="CB121" s="4"/>
      <c r="CC121" s="4"/>
      <c r="CD121" s="4"/>
      <c r="CE121" s="4"/>
      <c r="CF121" s="4"/>
    </row>
    <row r="122" spans="1:88" x14ac:dyDescent="0.3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12"/>
      <c r="AW122" s="4"/>
      <c r="AX122" s="4"/>
      <c r="AY122" s="4"/>
      <c r="BA122" s="4"/>
      <c r="BC122" s="4"/>
      <c r="BD122" s="4"/>
      <c r="BE122" s="4"/>
      <c r="BF122" s="4"/>
      <c r="BG122" s="4"/>
      <c r="BH122" s="4"/>
      <c r="BI122" s="4"/>
      <c r="BJ122" s="4"/>
      <c r="BK122" s="4"/>
      <c r="BL122" s="4"/>
      <c r="BS122" s="4"/>
      <c r="BT122" s="4"/>
      <c r="BU122" s="4"/>
      <c r="BV122" s="4"/>
      <c r="BW122" s="4"/>
      <c r="BX122" s="4"/>
      <c r="BY122" s="4"/>
      <c r="BZ122" s="4"/>
      <c r="CA122" s="4"/>
      <c r="CB122" s="4"/>
      <c r="CC122" s="4"/>
      <c r="CD122" s="4"/>
      <c r="CE122" s="4"/>
      <c r="CF122" s="4"/>
    </row>
    <row r="123" spans="1:88" x14ac:dyDescent="0.3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12"/>
      <c r="AW123" s="4"/>
      <c r="AX123" s="4"/>
      <c r="AY123" s="4"/>
      <c r="AZ123" s="4"/>
      <c r="BA123" s="4"/>
      <c r="BB123" s="4"/>
      <c r="BC123" s="4"/>
      <c r="BD123" s="4"/>
      <c r="BE123" s="4"/>
      <c r="BF123" s="4"/>
      <c r="BG123" s="4"/>
      <c r="BH123" s="4"/>
      <c r="BI123" s="4"/>
      <c r="BJ123" s="4"/>
      <c r="BK123" s="4"/>
      <c r="BL123" s="4"/>
      <c r="BS123" s="4"/>
      <c r="BT123" s="4"/>
      <c r="BU123" s="4"/>
      <c r="BV123" s="4"/>
      <c r="BW123" s="4"/>
      <c r="BX123" s="4"/>
      <c r="BY123" s="4"/>
      <c r="BZ123" s="4"/>
      <c r="CA123" s="4"/>
      <c r="CB123" s="4"/>
      <c r="CC123" s="4"/>
      <c r="CD123" s="4"/>
      <c r="CE123" s="4"/>
      <c r="CF123" s="4"/>
    </row>
    <row r="124" spans="1:88" x14ac:dyDescent="0.3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12"/>
      <c r="AW124" s="4"/>
      <c r="AX124" s="4"/>
      <c r="AY124" s="4"/>
      <c r="AZ124" s="4"/>
      <c r="BA124" s="4"/>
      <c r="BB124" s="4"/>
      <c r="BC124" s="4"/>
      <c r="BD124" s="4"/>
      <c r="BE124" s="4"/>
      <c r="BF124" s="4"/>
      <c r="BG124" s="4"/>
      <c r="BH124" s="4"/>
      <c r="BI124" s="4"/>
      <c r="BJ124" s="4"/>
      <c r="BK124" s="4"/>
      <c r="BL124" s="4"/>
      <c r="BS124" s="4"/>
      <c r="BT124" s="4"/>
      <c r="BU124" s="4"/>
      <c r="BV124" s="4"/>
      <c r="BW124" s="4"/>
      <c r="BX124" s="4"/>
      <c r="BY124" s="4"/>
      <c r="BZ124" s="4"/>
      <c r="CA124" s="4"/>
      <c r="CB124" s="4"/>
      <c r="CC124" s="4"/>
      <c r="CD124" s="4"/>
      <c r="CE124" s="4"/>
      <c r="CF124" s="4"/>
    </row>
    <row r="125" spans="1:88" x14ac:dyDescent="0.3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S125" s="4"/>
      <c r="BT125" s="4"/>
      <c r="BU125" s="4"/>
      <c r="BV125" s="4"/>
      <c r="BW125" s="4"/>
      <c r="BX125" s="4"/>
      <c r="BY125" s="4"/>
      <c r="BZ125" s="4"/>
      <c r="CA125" s="4"/>
      <c r="CB125" s="4"/>
      <c r="CC125" s="4"/>
      <c r="CD125" s="4"/>
      <c r="CE125" s="4"/>
      <c r="CF125" s="4"/>
    </row>
    <row r="126" spans="1:88" x14ac:dyDescent="0.3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S126" s="4"/>
      <c r="BT126" s="4"/>
      <c r="BU126" s="4"/>
      <c r="BV126" s="4"/>
      <c r="BW126" s="4"/>
      <c r="BX126" s="4"/>
      <c r="BY126" s="4"/>
      <c r="BZ126" s="4"/>
      <c r="CA126" s="4"/>
      <c r="CB126" s="4"/>
      <c r="CC126" s="4"/>
      <c r="CD126" s="4"/>
      <c r="CE126" s="4"/>
      <c r="CF126" s="4"/>
    </row>
    <row r="127" spans="1:88" x14ac:dyDescent="0.3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S127" s="4"/>
      <c r="BT127" s="4"/>
      <c r="BU127" s="4"/>
      <c r="BV127" s="4"/>
      <c r="BW127" s="4"/>
      <c r="BX127" s="4"/>
      <c r="BY127" s="4"/>
      <c r="BZ127" s="4"/>
      <c r="CA127" s="4"/>
      <c r="CB127" s="4"/>
      <c r="CC127" s="4"/>
      <c r="CD127" s="4"/>
      <c r="CE127" s="4"/>
      <c r="CF127" s="4"/>
    </row>
    <row r="128" spans="1:88" x14ac:dyDescent="0.3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S128" s="4"/>
      <c r="BT128" s="4"/>
      <c r="BU128" s="4"/>
      <c r="BV128" s="4"/>
      <c r="BW128" s="4"/>
      <c r="BX128" s="4"/>
      <c r="BY128" s="4"/>
      <c r="BZ128" s="4"/>
      <c r="CA128" s="4"/>
      <c r="CB128" s="4"/>
      <c r="CC128" s="4"/>
      <c r="CD128" s="4"/>
      <c r="CE128" s="4"/>
      <c r="CF128" s="4"/>
    </row>
    <row r="129" spans="1:84" x14ac:dyDescent="0.3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S129" s="4"/>
      <c r="BT129" s="4"/>
      <c r="BU129" s="4"/>
      <c r="BV129" s="4"/>
      <c r="BW129" s="4"/>
      <c r="BX129" s="4"/>
      <c r="BY129" s="4"/>
      <c r="BZ129" s="4"/>
      <c r="CA129" s="4"/>
      <c r="CB129" s="4"/>
      <c r="CC129" s="4"/>
      <c r="CD129" s="4"/>
      <c r="CE129" s="4"/>
      <c r="CF129" s="4"/>
    </row>
    <row r="130" spans="1:84" x14ac:dyDescent="0.3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S130" s="4"/>
      <c r="BT130" s="4"/>
      <c r="BU130" s="4"/>
      <c r="BV130" s="4"/>
      <c r="BW130" s="4"/>
      <c r="BX130" s="4"/>
      <c r="BY130" s="4"/>
      <c r="BZ130" s="4"/>
      <c r="CA130" s="4"/>
      <c r="CB130" s="4"/>
      <c r="CC130" s="4"/>
      <c r="CD130" s="4"/>
      <c r="CE130" s="4"/>
      <c r="CF130" s="4"/>
    </row>
    <row r="131" spans="1:84" x14ac:dyDescent="0.3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S131" s="4"/>
      <c r="BT131" s="4"/>
      <c r="BU131" s="4"/>
      <c r="BV131" s="4"/>
      <c r="BW131" s="4"/>
      <c r="BX131" s="4"/>
      <c r="BY131" s="4"/>
      <c r="BZ131" s="4"/>
      <c r="CA131" s="4"/>
      <c r="CB131" s="4"/>
      <c r="CC131" s="4"/>
      <c r="CD131" s="4"/>
      <c r="CE131" s="4"/>
      <c r="CF131" s="4"/>
    </row>
    <row r="132" spans="1:84" x14ac:dyDescent="0.3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S132" s="4"/>
      <c r="BT132" s="4"/>
      <c r="BU132" s="4"/>
      <c r="BV132" s="4"/>
      <c r="BW132" s="4"/>
      <c r="BX132" s="4"/>
      <c r="BY132" s="4"/>
      <c r="BZ132" s="4"/>
      <c r="CA132" s="4"/>
      <c r="CB132" s="4"/>
      <c r="CC132" s="4"/>
      <c r="CD132" s="4"/>
      <c r="CE132" s="4"/>
      <c r="CF132" s="4"/>
    </row>
    <row r="133" spans="1:84" x14ac:dyDescent="0.3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S133" s="4"/>
      <c r="BT133" s="4"/>
      <c r="BU133" s="4"/>
      <c r="BV133" s="4"/>
      <c r="BW133" s="4"/>
      <c r="BX133" s="4"/>
      <c r="BY133" s="4"/>
      <c r="BZ133" s="4"/>
      <c r="CA133" s="4"/>
      <c r="CB133" s="4"/>
      <c r="CC133" s="4"/>
      <c r="CD133" s="4"/>
      <c r="CE133" s="4"/>
      <c r="CF133" s="4"/>
    </row>
    <row r="134" spans="1:84" x14ac:dyDescent="0.3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S134" s="4"/>
      <c r="BT134" s="4"/>
      <c r="BU134" s="4"/>
      <c r="BV134" s="4"/>
      <c r="BW134" s="4"/>
      <c r="BX134" s="4"/>
      <c r="BY134" s="4"/>
      <c r="BZ134" s="4"/>
      <c r="CA134" s="4"/>
      <c r="CB134" s="4"/>
      <c r="CC134" s="4"/>
      <c r="CD134" s="4"/>
      <c r="CE134" s="4"/>
      <c r="CF134" s="4"/>
    </row>
    <row r="135" spans="1:84" x14ac:dyDescent="0.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S135" s="4"/>
      <c r="BT135" s="4"/>
      <c r="BU135" s="4"/>
      <c r="BV135" s="4"/>
      <c r="BW135" s="4"/>
      <c r="BX135" s="4"/>
      <c r="BY135" s="4"/>
      <c r="BZ135" s="4"/>
      <c r="CA135" s="4"/>
      <c r="CB135" s="4"/>
      <c r="CC135" s="4"/>
      <c r="CD135" s="4"/>
      <c r="CE135" s="4"/>
      <c r="CF135" s="4"/>
    </row>
    <row r="136" spans="1:84" x14ac:dyDescent="0.3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S136" s="4"/>
      <c r="BT136" s="4"/>
      <c r="BU136" s="4"/>
      <c r="BV136" s="4"/>
      <c r="BW136" s="4"/>
      <c r="BX136" s="4"/>
      <c r="BY136" s="4"/>
      <c r="BZ136" s="4"/>
      <c r="CA136" s="4"/>
      <c r="CB136" s="4"/>
      <c r="CC136" s="4"/>
      <c r="CD136" s="4"/>
      <c r="CE136" s="4"/>
      <c r="CF136" s="4"/>
    </row>
    <row r="137" spans="1:84" x14ac:dyDescent="0.3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S137" s="4"/>
      <c r="BT137" s="4"/>
      <c r="BU137" s="4"/>
      <c r="BV137" s="4"/>
      <c r="BW137" s="4"/>
      <c r="BX137" s="4"/>
      <c r="BY137" s="4"/>
      <c r="BZ137" s="4"/>
      <c r="CA137" s="4"/>
      <c r="CB137" s="4"/>
      <c r="CC137" s="4"/>
      <c r="CD137" s="4"/>
      <c r="CE137" s="4"/>
      <c r="CF137" s="4"/>
    </row>
    <row r="138" spans="1:84" x14ac:dyDescent="0.35">
      <c r="A138" s="4"/>
      <c r="B138" s="4"/>
      <c r="C138" s="4"/>
      <c r="D138" s="4"/>
      <c r="E138" s="4"/>
      <c r="F138" s="4"/>
      <c r="G138" s="4"/>
      <c r="H138" s="4"/>
      <c r="I138" s="4"/>
      <c r="J138" s="4"/>
      <c r="K138" s="4"/>
      <c r="L138" s="4"/>
      <c r="M138" s="4"/>
      <c r="N138" s="4"/>
      <c r="O138" s="4"/>
      <c r="P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S138" s="4"/>
      <c r="BT138" s="4"/>
      <c r="BU138" s="4"/>
      <c r="BV138" s="4"/>
      <c r="BW138" s="4"/>
      <c r="BX138" s="4"/>
      <c r="BY138" s="4"/>
      <c r="BZ138" s="4"/>
      <c r="CA138" s="4"/>
      <c r="CB138" s="4"/>
      <c r="CC138" s="4"/>
      <c r="CD138" s="4"/>
      <c r="CE138" s="4"/>
      <c r="CF138" s="4"/>
    </row>
    <row r="139" spans="1:84" x14ac:dyDescent="0.35">
      <c r="A139" s="4"/>
      <c r="B139" s="4"/>
      <c r="C139" s="4"/>
      <c r="D139" s="4"/>
      <c r="E139" s="4"/>
      <c r="F139" s="4"/>
      <c r="G139" s="4"/>
      <c r="H139" s="4"/>
      <c r="I139" s="4"/>
      <c r="J139" s="4"/>
      <c r="K139" s="4"/>
      <c r="L139" s="4"/>
      <c r="M139" s="4"/>
      <c r="N139" s="4"/>
      <c r="O139" s="4"/>
      <c r="P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S139" s="4"/>
      <c r="BT139" s="4"/>
      <c r="BU139" s="4"/>
      <c r="BV139" s="4"/>
      <c r="BW139" s="4"/>
      <c r="BX139" s="4"/>
      <c r="BY139" s="4"/>
      <c r="BZ139" s="4"/>
      <c r="CA139" s="4"/>
      <c r="CB139" s="4"/>
      <c r="CC139" s="4"/>
      <c r="CD139" s="4"/>
      <c r="CE139" s="4"/>
      <c r="CF139" s="4"/>
    </row>
    <row r="140" spans="1:84" x14ac:dyDescent="0.35">
      <c r="A140" s="4"/>
      <c r="B140" s="4"/>
      <c r="C140" s="4"/>
      <c r="D140" s="4"/>
      <c r="E140" s="4"/>
      <c r="F140" s="4"/>
      <c r="G140" s="4"/>
      <c r="H140" s="4"/>
      <c r="I140" s="4"/>
      <c r="J140" s="4"/>
      <c r="K140" s="4"/>
      <c r="L140" s="4"/>
      <c r="M140" s="4"/>
      <c r="N140" s="4"/>
      <c r="O140" s="4"/>
      <c r="P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S140" s="4"/>
      <c r="BT140" s="4"/>
      <c r="BU140" s="4"/>
      <c r="BV140" s="4"/>
      <c r="BW140" s="4"/>
      <c r="BX140" s="4"/>
      <c r="BY140" s="4"/>
      <c r="BZ140" s="4"/>
      <c r="CA140" s="4"/>
      <c r="CB140" s="4"/>
      <c r="CC140" s="4"/>
      <c r="CD140" s="4"/>
      <c r="CE140" s="4"/>
      <c r="CF140" s="4"/>
    </row>
    <row r="141" spans="1:84" x14ac:dyDescent="0.35">
      <c r="A141" s="4"/>
      <c r="B141" s="4"/>
      <c r="C141" s="4"/>
      <c r="D141" s="4"/>
      <c r="E141" s="4"/>
      <c r="F141" s="4"/>
      <c r="G141" s="4"/>
      <c r="H141" s="4"/>
      <c r="I141" s="4"/>
      <c r="J141" s="4"/>
      <c r="K141" s="4"/>
      <c r="L141" s="4"/>
      <c r="M141" s="4"/>
      <c r="N141" s="4"/>
      <c r="O141" s="4"/>
      <c r="P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S141" s="4"/>
      <c r="BT141" s="4"/>
      <c r="BU141" s="4"/>
      <c r="BV141" s="4"/>
      <c r="BW141" s="4"/>
      <c r="BX141" s="4"/>
      <c r="BY141" s="4"/>
      <c r="BZ141" s="4"/>
      <c r="CA141" s="4"/>
      <c r="CB141" s="4"/>
      <c r="CC141" s="4"/>
      <c r="CD141" s="4"/>
      <c r="CE141" s="4"/>
      <c r="CF141" s="4"/>
    </row>
    <row r="142" spans="1:84" x14ac:dyDescent="0.3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S142" s="4"/>
      <c r="BT142" s="4"/>
      <c r="BU142" s="4"/>
      <c r="BV142" s="4"/>
      <c r="BW142" s="4"/>
      <c r="BX142" s="4"/>
      <c r="BY142" s="4"/>
      <c r="BZ142" s="4"/>
      <c r="CA142" s="4"/>
      <c r="CB142" s="4"/>
      <c r="CC142" s="4"/>
      <c r="CD142" s="4"/>
      <c r="CE142" s="4"/>
      <c r="CF142" s="4"/>
    </row>
    <row r="143" spans="1:84" x14ac:dyDescent="0.3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S143" s="4"/>
      <c r="BT143" s="4"/>
      <c r="BU143" s="4"/>
      <c r="BV143" s="4"/>
      <c r="BW143" s="4"/>
      <c r="BX143" s="4"/>
      <c r="BY143" s="4"/>
      <c r="BZ143" s="4"/>
      <c r="CA143" s="4"/>
      <c r="CB143" s="4"/>
      <c r="CC143" s="4"/>
      <c r="CD143" s="4"/>
      <c r="CE143" s="4"/>
      <c r="CF143" s="4"/>
    </row>
    <row r="144" spans="1:84" x14ac:dyDescent="0.3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S144" s="4"/>
      <c r="BT144" s="4"/>
      <c r="BU144" s="4"/>
      <c r="BV144" s="4"/>
      <c r="BW144" s="4"/>
      <c r="BX144" s="4"/>
      <c r="BY144" s="4"/>
      <c r="BZ144" s="4"/>
      <c r="CA144" s="4"/>
      <c r="CB144" s="4"/>
      <c r="CC144" s="4"/>
      <c r="CD144" s="4"/>
      <c r="CE144" s="4"/>
      <c r="CF144" s="4"/>
    </row>
    <row r="145" spans="1:84" x14ac:dyDescent="0.3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S145" s="4"/>
      <c r="BT145" s="4"/>
      <c r="BU145" s="4"/>
      <c r="BV145" s="4"/>
      <c r="BW145" s="4"/>
      <c r="BX145" s="4"/>
      <c r="BY145" s="4"/>
      <c r="BZ145" s="4"/>
      <c r="CA145" s="4"/>
      <c r="CB145" s="4"/>
      <c r="CC145" s="4"/>
      <c r="CD145" s="4"/>
      <c r="CE145" s="4"/>
      <c r="CF145" s="4"/>
    </row>
    <row r="146" spans="1:84" x14ac:dyDescent="0.3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S146" s="4"/>
      <c r="BT146" s="4"/>
      <c r="BU146" s="4"/>
      <c r="BV146" s="4"/>
      <c r="BW146" s="4"/>
      <c r="BX146" s="4"/>
      <c r="BY146" s="4"/>
      <c r="BZ146" s="4"/>
      <c r="CA146" s="4"/>
      <c r="CB146" s="4"/>
      <c r="CC146" s="4"/>
      <c r="CD146" s="4"/>
      <c r="CE146" s="4"/>
      <c r="CF146" s="4"/>
    </row>
    <row r="147" spans="1:84" x14ac:dyDescent="0.3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S147" s="4"/>
      <c r="BT147" s="4"/>
      <c r="BU147" s="4"/>
      <c r="BV147" s="4"/>
      <c r="BW147" s="4"/>
      <c r="BX147" s="4"/>
      <c r="BY147" s="4"/>
      <c r="BZ147" s="4"/>
      <c r="CA147" s="4"/>
      <c r="CB147" s="4"/>
      <c r="CC147" s="4"/>
      <c r="CD147" s="4"/>
      <c r="CE147" s="4"/>
      <c r="CF147" s="4"/>
    </row>
    <row r="148" spans="1:84" x14ac:dyDescent="0.3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S148" s="4"/>
      <c r="BT148" s="4"/>
      <c r="BU148" s="4"/>
      <c r="BV148" s="4"/>
      <c r="BW148" s="4"/>
      <c r="BX148" s="4"/>
      <c r="BY148" s="4"/>
      <c r="BZ148" s="4"/>
      <c r="CA148" s="4"/>
      <c r="CB148" s="4"/>
      <c r="CC148" s="4"/>
      <c r="CD148" s="4"/>
      <c r="CE148" s="4"/>
      <c r="CF148" s="4"/>
    </row>
    <row r="149" spans="1:84" x14ac:dyDescent="0.3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S149" s="4"/>
      <c r="BT149" s="4"/>
      <c r="BU149" s="4"/>
      <c r="BV149" s="4"/>
      <c r="BW149" s="4"/>
      <c r="BX149" s="4"/>
      <c r="BY149" s="4"/>
      <c r="BZ149" s="4"/>
      <c r="CA149" s="4"/>
      <c r="CB149" s="4"/>
      <c r="CC149" s="4"/>
      <c r="CD149" s="4"/>
      <c r="CE149" s="4"/>
      <c r="CF149" s="4"/>
    </row>
    <row r="150" spans="1:84" x14ac:dyDescent="0.3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S150" s="4"/>
      <c r="BT150" s="4"/>
      <c r="BU150" s="4"/>
      <c r="BV150" s="4"/>
      <c r="BW150" s="4"/>
      <c r="BX150" s="4"/>
      <c r="BY150" s="4"/>
      <c r="BZ150" s="4"/>
      <c r="CA150" s="4"/>
      <c r="CB150" s="4"/>
      <c r="CC150" s="4"/>
      <c r="CD150" s="4"/>
      <c r="CE150" s="4"/>
      <c r="CF150" s="4"/>
    </row>
    <row r="151" spans="1:84" x14ac:dyDescent="0.3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S151" s="4"/>
      <c r="BT151" s="4"/>
      <c r="BU151" s="4"/>
      <c r="BV151" s="4"/>
      <c r="BW151" s="4"/>
      <c r="BX151" s="4"/>
      <c r="BY151" s="4"/>
      <c r="BZ151" s="4"/>
      <c r="CA151" s="4"/>
      <c r="CB151" s="4"/>
      <c r="CC151" s="4"/>
      <c r="CD151" s="4"/>
      <c r="CE151" s="4"/>
      <c r="CF151" s="4"/>
    </row>
    <row r="152" spans="1:84" x14ac:dyDescent="0.3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S152" s="4"/>
      <c r="BT152" s="4"/>
      <c r="BU152" s="4"/>
      <c r="BV152" s="4"/>
      <c r="BW152" s="4"/>
      <c r="BX152" s="4"/>
      <c r="BY152" s="4"/>
      <c r="BZ152" s="4"/>
      <c r="CA152" s="4"/>
      <c r="CB152" s="4"/>
      <c r="CC152" s="4"/>
      <c r="CD152" s="4"/>
      <c r="CE152" s="4"/>
      <c r="CF152" s="4"/>
    </row>
    <row r="153" spans="1:84" x14ac:dyDescent="0.3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S153" s="4"/>
      <c r="BT153" s="4"/>
      <c r="BU153" s="4"/>
      <c r="BV153" s="4"/>
      <c r="BW153" s="4"/>
      <c r="BX153" s="4"/>
      <c r="BY153" s="4"/>
      <c r="BZ153" s="4"/>
      <c r="CA153" s="4"/>
      <c r="CB153" s="4"/>
      <c r="CC153" s="4"/>
      <c r="CD153" s="4"/>
      <c r="CE153" s="4"/>
      <c r="CF153" s="4"/>
    </row>
    <row r="154" spans="1:84" x14ac:dyDescent="0.3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S154" s="4"/>
      <c r="BT154" s="4"/>
      <c r="BU154" s="4"/>
      <c r="BV154" s="4"/>
      <c r="BW154" s="4"/>
      <c r="BX154" s="4"/>
      <c r="BY154" s="4"/>
      <c r="BZ154" s="4"/>
      <c r="CA154" s="4"/>
      <c r="CB154" s="4"/>
      <c r="CC154" s="4"/>
      <c r="CD154" s="4"/>
      <c r="CE154" s="4"/>
      <c r="CF154" s="4"/>
    </row>
    <row r="155" spans="1:84" x14ac:dyDescent="0.3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S155" s="4"/>
      <c r="BT155" s="4"/>
      <c r="BU155" s="4"/>
      <c r="BV155" s="4"/>
      <c r="BW155" s="4"/>
      <c r="BX155" s="4"/>
      <c r="BY155" s="4"/>
      <c r="BZ155" s="4"/>
      <c r="CA155" s="4"/>
      <c r="CB155" s="4"/>
      <c r="CC155" s="4"/>
      <c r="CD155" s="4"/>
      <c r="CE155" s="4"/>
      <c r="CF155" s="4"/>
    </row>
    <row r="156" spans="1:84" x14ac:dyDescent="0.3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S156" s="4"/>
      <c r="BT156" s="4"/>
      <c r="BU156" s="4"/>
      <c r="BV156" s="4"/>
      <c r="BW156" s="4"/>
      <c r="BX156" s="4"/>
      <c r="BY156" s="4"/>
      <c r="BZ156" s="4"/>
      <c r="CA156" s="4"/>
      <c r="CB156" s="4"/>
      <c r="CC156" s="4"/>
      <c r="CD156" s="4"/>
      <c r="CE156" s="4"/>
      <c r="CF156" s="4"/>
    </row>
    <row r="157" spans="1:84" x14ac:dyDescent="0.3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S157" s="4"/>
      <c r="BT157" s="4"/>
      <c r="BU157" s="4"/>
      <c r="BV157" s="4"/>
      <c r="BW157" s="4"/>
      <c r="BX157" s="4"/>
      <c r="BY157" s="4"/>
      <c r="BZ157" s="4"/>
      <c r="CA157" s="4"/>
      <c r="CB157" s="4"/>
      <c r="CC157" s="4"/>
      <c r="CD157" s="4"/>
      <c r="CE157" s="4"/>
      <c r="CF157" s="4"/>
    </row>
    <row r="158" spans="1:84" x14ac:dyDescent="0.3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S158" s="4"/>
      <c r="BT158" s="4"/>
      <c r="BU158" s="4"/>
      <c r="BV158" s="4"/>
      <c r="BW158" s="4"/>
      <c r="BX158" s="4"/>
      <c r="BY158" s="4"/>
      <c r="BZ158" s="4"/>
      <c r="CA158" s="4"/>
      <c r="CB158" s="4"/>
      <c r="CC158" s="4"/>
      <c r="CD158" s="4"/>
      <c r="CE158" s="4"/>
      <c r="CF158" s="4"/>
    </row>
    <row r="159" spans="1:84" x14ac:dyDescent="0.3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S159" s="4"/>
      <c r="BT159" s="4"/>
      <c r="BU159" s="4"/>
      <c r="BV159" s="4"/>
      <c r="BW159" s="4"/>
      <c r="BX159" s="4"/>
      <c r="BY159" s="4"/>
      <c r="BZ159" s="4"/>
      <c r="CA159" s="4"/>
      <c r="CB159" s="4"/>
      <c r="CC159" s="4"/>
      <c r="CD159" s="4"/>
      <c r="CE159" s="4"/>
      <c r="CF159" s="4"/>
    </row>
    <row r="160" spans="1:84" x14ac:dyDescent="0.3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S160" s="4"/>
      <c r="BT160" s="4"/>
      <c r="BU160" s="4"/>
      <c r="BV160" s="4"/>
      <c r="BW160" s="4"/>
      <c r="BX160" s="4"/>
      <c r="BY160" s="4"/>
      <c r="BZ160" s="4"/>
      <c r="CA160" s="4"/>
      <c r="CB160" s="4"/>
      <c r="CC160" s="4"/>
      <c r="CD160" s="4"/>
      <c r="CE160" s="4"/>
      <c r="CF160" s="4"/>
    </row>
    <row r="161" spans="1:84" x14ac:dyDescent="0.3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S161" s="4"/>
      <c r="BT161" s="4"/>
      <c r="BU161" s="4"/>
      <c r="BV161" s="4"/>
      <c r="BW161" s="4"/>
      <c r="BX161" s="4"/>
      <c r="BY161" s="4"/>
      <c r="BZ161" s="4"/>
      <c r="CA161" s="4"/>
      <c r="CB161" s="4"/>
      <c r="CC161" s="4"/>
      <c r="CD161" s="4"/>
      <c r="CE161" s="4"/>
      <c r="CF161" s="4"/>
    </row>
    <row r="162" spans="1:84" x14ac:dyDescent="0.3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S162" s="4"/>
      <c r="BT162" s="4"/>
      <c r="BU162" s="4"/>
      <c r="BV162" s="4"/>
      <c r="BW162" s="4"/>
      <c r="BX162" s="4"/>
      <c r="BY162" s="4"/>
      <c r="BZ162" s="4"/>
      <c r="CA162" s="4"/>
      <c r="CB162" s="4"/>
      <c r="CC162" s="4"/>
      <c r="CD162" s="4"/>
      <c r="CE162" s="4"/>
      <c r="CF162" s="4"/>
    </row>
    <row r="163" spans="1:84" x14ac:dyDescent="0.3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S163" s="4"/>
      <c r="BT163" s="4"/>
      <c r="BU163" s="4"/>
      <c r="BV163" s="4"/>
      <c r="BW163" s="4"/>
      <c r="BX163" s="4"/>
      <c r="BY163" s="4"/>
      <c r="BZ163" s="4"/>
      <c r="CA163" s="4"/>
      <c r="CB163" s="4"/>
      <c r="CC163" s="4"/>
      <c r="CD163" s="4"/>
      <c r="CE163" s="4"/>
      <c r="CF163" s="4"/>
    </row>
    <row r="164" spans="1:84" x14ac:dyDescent="0.3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S164" s="4"/>
      <c r="BT164" s="4"/>
      <c r="BU164" s="4"/>
      <c r="BV164" s="4"/>
      <c r="BW164" s="4"/>
      <c r="BX164" s="4"/>
      <c r="BY164" s="4"/>
      <c r="BZ164" s="4"/>
      <c r="CA164" s="4"/>
      <c r="CB164" s="4"/>
      <c r="CC164" s="4"/>
      <c r="CD164" s="4"/>
      <c r="CE164" s="4"/>
      <c r="CF164" s="4"/>
    </row>
    <row r="165" spans="1:84" x14ac:dyDescent="0.3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S165" s="4"/>
      <c r="BT165" s="4"/>
      <c r="BU165" s="4"/>
      <c r="BV165" s="4"/>
      <c r="BW165" s="4"/>
      <c r="BX165" s="4"/>
      <c r="BY165" s="4"/>
      <c r="BZ165" s="4"/>
      <c r="CA165" s="4"/>
      <c r="CB165" s="4"/>
      <c r="CC165" s="4"/>
      <c r="CD165" s="4"/>
      <c r="CE165" s="4"/>
      <c r="CF165" s="4"/>
    </row>
    <row r="166" spans="1:84" x14ac:dyDescent="0.3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S166" s="4"/>
      <c r="BT166" s="4"/>
      <c r="BU166" s="4"/>
      <c r="BV166" s="4"/>
      <c r="BW166" s="4"/>
      <c r="BX166" s="4"/>
      <c r="BY166" s="4"/>
      <c r="BZ166" s="4"/>
      <c r="CA166" s="4"/>
      <c r="CB166" s="4"/>
      <c r="CC166" s="4"/>
      <c r="CD166" s="4"/>
      <c r="CE166" s="4"/>
      <c r="CF166" s="4"/>
    </row>
    <row r="167" spans="1:84" x14ac:dyDescent="0.3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S167" s="4"/>
      <c r="BT167" s="4"/>
      <c r="BU167" s="4"/>
      <c r="BV167" s="4"/>
      <c r="BW167" s="4"/>
      <c r="BX167" s="4"/>
      <c r="BY167" s="4"/>
      <c r="BZ167" s="4"/>
      <c r="CA167" s="4"/>
      <c r="CB167" s="4"/>
      <c r="CC167" s="4"/>
      <c r="CD167" s="4"/>
      <c r="CE167" s="4"/>
      <c r="CF167" s="4"/>
    </row>
    <row r="168" spans="1:84" x14ac:dyDescent="0.3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S168" s="4"/>
      <c r="BT168" s="4"/>
      <c r="BU168" s="4"/>
      <c r="BV168" s="4"/>
      <c r="BW168" s="4"/>
      <c r="BX168" s="4"/>
      <c r="BY168" s="4"/>
      <c r="BZ168" s="4"/>
      <c r="CA168" s="4"/>
      <c r="CB168" s="4"/>
      <c r="CC168" s="4"/>
      <c r="CD168" s="4"/>
      <c r="CE168" s="4"/>
      <c r="CF168" s="4"/>
    </row>
    <row r="169" spans="1:84" x14ac:dyDescent="0.3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S169" s="4"/>
      <c r="BT169" s="4"/>
      <c r="BU169" s="4"/>
      <c r="BV169" s="4"/>
      <c r="BW169" s="4"/>
      <c r="BX169" s="4"/>
      <c r="BY169" s="4"/>
      <c r="BZ169" s="4"/>
      <c r="CA169" s="4"/>
      <c r="CB169" s="4"/>
      <c r="CC169" s="4"/>
      <c r="CD169" s="4"/>
      <c r="CE169" s="4"/>
      <c r="CF169" s="4"/>
    </row>
    <row r="170" spans="1:84" x14ac:dyDescent="0.3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S170" s="4"/>
      <c r="BT170" s="4"/>
      <c r="BU170" s="4"/>
      <c r="BV170" s="4"/>
      <c r="BW170" s="4"/>
      <c r="BX170" s="4"/>
      <c r="BY170" s="4"/>
      <c r="BZ170" s="4"/>
      <c r="CA170" s="4"/>
      <c r="CB170" s="4"/>
      <c r="CC170" s="4"/>
      <c r="CD170" s="4"/>
      <c r="CE170" s="4"/>
      <c r="CF170" s="4"/>
    </row>
    <row r="171" spans="1:84" x14ac:dyDescent="0.3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S171" s="4"/>
      <c r="BT171" s="4"/>
      <c r="BU171" s="4"/>
      <c r="BV171" s="4"/>
      <c r="BW171" s="4"/>
      <c r="BX171" s="4"/>
      <c r="BY171" s="4"/>
      <c r="BZ171" s="4"/>
      <c r="CA171" s="4"/>
      <c r="CB171" s="4"/>
      <c r="CC171" s="4"/>
      <c r="CD171" s="4"/>
      <c r="CE171" s="4"/>
      <c r="CF171" s="4"/>
    </row>
    <row r="172" spans="1:84" x14ac:dyDescent="0.3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S172" s="4"/>
      <c r="BT172" s="4"/>
      <c r="BU172" s="4"/>
      <c r="BV172" s="4"/>
      <c r="BW172" s="4"/>
      <c r="BX172" s="4"/>
      <c r="BY172" s="4"/>
      <c r="BZ172" s="4"/>
      <c r="CA172" s="4"/>
      <c r="CB172" s="4"/>
      <c r="CC172" s="4"/>
      <c r="CD172" s="4"/>
      <c r="CE172" s="4"/>
      <c r="CF172" s="4"/>
    </row>
    <row r="173" spans="1:84" x14ac:dyDescent="0.3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S173" s="4"/>
      <c r="BT173" s="4"/>
      <c r="BU173" s="4"/>
      <c r="BV173" s="4"/>
      <c r="BW173" s="4"/>
      <c r="BX173" s="4"/>
      <c r="BY173" s="4"/>
      <c r="BZ173" s="4"/>
      <c r="CA173" s="4"/>
      <c r="CB173" s="4"/>
      <c r="CC173" s="4"/>
      <c r="CD173" s="4"/>
      <c r="CE173" s="4"/>
      <c r="CF173" s="4"/>
    </row>
    <row r="174" spans="1:84" x14ac:dyDescent="0.3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S174" s="4"/>
      <c r="BT174" s="4"/>
      <c r="BU174" s="4"/>
      <c r="BV174" s="4"/>
      <c r="BW174" s="4"/>
      <c r="BX174" s="4"/>
      <c r="BY174" s="4"/>
      <c r="BZ174" s="4"/>
      <c r="CA174" s="4"/>
      <c r="CB174" s="4"/>
      <c r="CC174" s="4"/>
      <c r="CD174" s="4"/>
      <c r="CE174" s="4"/>
      <c r="CF174" s="4"/>
    </row>
    <row r="175" spans="1:84" x14ac:dyDescent="0.3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S175" s="4"/>
      <c r="BT175" s="4"/>
      <c r="BU175" s="4"/>
      <c r="BV175" s="4"/>
      <c r="BW175" s="4"/>
      <c r="BX175" s="4"/>
      <c r="BY175" s="4"/>
      <c r="BZ175" s="4"/>
      <c r="CA175" s="4"/>
      <c r="CB175" s="4"/>
      <c r="CC175" s="4"/>
      <c r="CD175" s="4"/>
      <c r="CE175" s="4"/>
      <c r="CF175" s="4"/>
    </row>
    <row r="176" spans="1:84" x14ac:dyDescent="0.3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S176" s="4"/>
      <c r="BT176" s="4"/>
      <c r="BU176" s="4"/>
      <c r="BV176" s="4"/>
      <c r="BW176" s="4"/>
      <c r="BX176" s="4"/>
      <c r="BY176" s="4"/>
      <c r="BZ176" s="4"/>
      <c r="CA176" s="4"/>
      <c r="CB176" s="4"/>
      <c r="CC176" s="4"/>
      <c r="CD176" s="4"/>
      <c r="CE176" s="4"/>
      <c r="CF176" s="4"/>
    </row>
    <row r="177" spans="1:84" x14ac:dyDescent="0.3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S177" s="4"/>
      <c r="BT177" s="4"/>
      <c r="BU177" s="4"/>
      <c r="BV177" s="4"/>
      <c r="BW177" s="4"/>
      <c r="BX177" s="4"/>
      <c r="BY177" s="4"/>
      <c r="BZ177" s="4"/>
      <c r="CA177" s="4"/>
      <c r="CB177" s="4"/>
      <c r="CC177" s="4"/>
      <c r="CD177" s="4"/>
      <c r="CE177" s="4"/>
      <c r="CF177" s="4"/>
    </row>
    <row r="178" spans="1:84" x14ac:dyDescent="0.3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S178" s="4"/>
      <c r="BT178" s="4"/>
      <c r="BU178" s="4"/>
      <c r="BV178" s="4"/>
      <c r="BW178" s="4"/>
      <c r="BX178" s="4"/>
      <c r="BY178" s="4"/>
      <c r="BZ178" s="4"/>
      <c r="CA178" s="4"/>
      <c r="CB178" s="4"/>
      <c r="CC178" s="4"/>
      <c r="CD178" s="4"/>
      <c r="CE178" s="4"/>
      <c r="CF178" s="4"/>
    </row>
    <row r="179" spans="1:84" x14ac:dyDescent="0.3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S179" s="4"/>
      <c r="BT179" s="4"/>
      <c r="BU179" s="4"/>
      <c r="BV179" s="4"/>
      <c r="BW179" s="4"/>
      <c r="BX179" s="4"/>
      <c r="BY179" s="4"/>
      <c r="BZ179" s="4"/>
      <c r="CA179" s="4"/>
      <c r="CB179" s="4"/>
      <c r="CC179" s="4"/>
      <c r="CD179" s="4"/>
      <c r="CE179" s="4"/>
      <c r="CF179" s="4"/>
    </row>
    <row r="180" spans="1:84" x14ac:dyDescent="0.3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S180" s="4"/>
      <c r="BT180" s="4"/>
      <c r="BU180" s="4"/>
      <c r="BV180" s="4"/>
      <c r="BW180" s="4"/>
      <c r="BX180" s="4"/>
      <c r="BY180" s="4"/>
      <c r="BZ180" s="4"/>
      <c r="CA180" s="4"/>
      <c r="CB180" s="4"/>
      <c r="CC180" s="4"/>
      <c r="CD180" s="4"/>
      <c r="CE180" s="4"/>
      <c r="CF180" s="4"/>
    </row>
    <row r="181" spans="1:84" x14ac:dyDescent="0.3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S181" s="4"/>
      <c r="BT181" s="4"/>
      <c r="BU181" s="4"/>
      <c r="BV181" s="4"/>
      <c r="BW181" s="4"/>
      <c r="BX181" s="4"/>
      <c r="BY181" s="4"/>
      <c r="BZ181" s="4"/>
      <c r="CA181" s="4"/>
      <c r="CB181" s="4"/>
      <c r="CC181" s="4"/>
      <c r="CD181" s="4"/>
      <c r="CE181" s="4"/>
      <c r="CF181" s="4"/>
    </row>
    <row r="182" spans="1:84" x14ac:dyDescent="0.3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S182" s="4"/>
      <c r="BT182" s="4"/>
      <c r="BU182" s="4"/>
      <c r="BV182" s="4"/>
      <c r="BW182" s="4"/>
      <c r="BX182" s="4"/>
      <c r="BY182" s="4"/>
      <c r="BZ182" s="4"/>
      <c r="CA182" s="4"/>
      <c r="CB182" s="4"/>
      <c r="CC182" s="4"/>
      <c r="CD182" s="4"/>
      <c r="CE182" s="4"/>
      <c r="CF182" s="4"/>
    </row>
    <row r="183" spans="1:84" x14ac:dyDescent="0.3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S183" s="4"/>
      <c r="BT183" s="4"/>
      <c r="BU183" s="4"/>
      <c r="BV183" s="4"/>
      <c r="BW183" s="4"/>
      <c r="BX183" s="4"/>
      <c r="BY183" s="4"/>
      <c r="BZ183" s="4"/>
      <c r="CA183" s="4"/>
      <c r="CB183" s="4"/>
      <c r="CC183" s="4"/>
      <c r="CD183" s="4"/>
      <c r="CE183" s="4"/>
      <c r="CF183" s="4"/>
    </row>
    <row r="184" spans="1:84" x14ac:dyDescent="0.3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S184" s="4"/>
      <c r="BT184" s="4"/>
      <c r="BU184" s="4"/>
      <c r="BV184" s="4"/>
      <c r="BW184" s="4"/>
      <c r="BX184" s="4"/>
      <c r="BY184" s="4"/>
      <c r="BZ184" s="4"/>
      <c r="CA184" s="4"/>
      <c r="CB184" s="4"/>
      <c r="CC184" s="4"/>
      <c r="CD184" s="4"/>
      <c r="CE184" s="4"/>
      <c r="CF184" s="4"/>
    </row>
    <row r="185" spans="1:84" x14ac:dyDescent="0.3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S185" s="4"/>
      <c r="BT185" s="4"/>
      <c r="BU185" s="4"/>
      <c r="BV185" s="4"/>
      <c r="BW185" s="4"/>
      <c r="BX185" s="4"/>
      <c r="BY185" s="4"/>
      <c r="BZ185" s="4"/>
      <c r="CA185" s="4"/>
      <c r="CB185" s="4"/>
      <c r="CC185" s="4"/>
      <c r="CD185" s="4"/>
      <c r="CE185" s="4"/>
      <c r="CF185" s="4"/>
    </row>
    <row r="186" spans="1:84" x14ac:dyDescent="0.3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S186" s="4"/>
      <c r="BT186" s="4"/>
      <c r="BU186" s="4"/>
      <c r="BV186" s="4"/>
      <c r="BW186" s="4"/>
      <c r="BX186" s="4"/>
      <c r="BY186" s="4"/>
      <c r="BZ186" s="4"/>
      <c r="CA186" s="4"/>
      <c r="CB186" s="4"/>
      <c r="CC186" s="4"/>
      <c r="CD186" s="4"/>
      <c r="CE186" s="4"/>
      <c r="CF186" s="4"/>
    </row>
    <row r="187" spans="1:84" x14ac:dyDescent="0.3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S187" s="4"/>
      <c r="BT187" s="4"/>
      <c r="BU187" s="4"/>
      <c r="BV187" s="4"/>
      <c r="BW187" s="4"/>
      <c r="BX187" s="4"/>
      <c r="BY187" s="4"/>
      <c r="BZ187" s="4"/>
      <c r="CA187" s="4"/>
      <c r="CB187" s="4"/>
      <c r="CC187" s="4"/>
      <c r="CD187" s="4"/>
      <c r="CE187" s="4"/>
      <c r="CF187" s="4"/>
    </row>
    <row r="188" spans="1:84" x14ac:dyDescent="0.3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S188" s="4"/>
      <c r="BT188" s="4"/>
      <c r="BU188" s="4"/>
      <c r="BV188" s="4"/>
      <c r="BW188" s="4"/>
      <c r="BX188" s="4"/>
      <c r="BY188" s="4"/>
      <c r="BZ188" s="4"/>
      <c r="CA188" s="4"/>
      <c r="CB188" s="4"/>
      <c r="CC188" s="4"/>
      <c r="CD188" s="4"/>
      <c r="CE188" s="4"/>
      <c r="CF188" s="4"/>
    </row>
    <row r="189" spans="1:84" x14ac:dyDescent="0.3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S189" s="4"/>
      <c r="BT189" s="4"/>
      <c r="BU189" s="4"/>
      <c r="BV189" s="4"/>
      <c r="BW189" s="4"/>
      <c r="BX189" s="4"/>
      <c r="BY189" s="4"/>
      <c r="BZ189" s="4"/>
      <c r="CA189" s="4"/>
      <c r="CB189" s="4"/>
      <c r="CC189" s="4"/>
      <c r="CD189" s="4"/>
      <c r="CE189" s="4"/>
      <c r="CF189" s="4"/>
    </row>
    <row r="190" spans="1:84" x14ac:dyDescent="0.3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S190" s="4"/>
      <c r="BT190" s="4"/>
      <c r="BU190" s="4"/>
      <c r="BV190" s="4"/>
      <c r="BW190" s="4"/>
      <c r="BX190" s="4"/>
      <c r="BY190" s="4"/>
      <c r="BZ190" s="4"/>
      <c r="CA190" s="4"/>
      <c r="CB190" s="4"/>
      <c r="CC190" s="4"/>
      <c r="CD190" s="4"/>
      <c r="CE190" s="4"/>
      <c r="CF190" s="4"/>
    </row>
    <row r="191" spans="1:84" x14ac:dyDescent="0.3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S191" s="4"/>
      <c r="BT191" s="4"/>
      <c r="BU191" s="4"/>
      <c r="BV191" s="4"/>
      <c r="BW191" s="4"/>
      <c r="BX191" s="4"/>
      <c r="BY191" s="4"/>
      <c r="BZ191" s="4"/>
      <c r="CA191" s="4"/>
      <c r="CB191" s="4"/>
      <c r="CC191" s="4"/>
      <c r="CD191" s="4"/>
      <c r="CE191" s="4"/>
      <c r="CF191" s="4"/>
    </row>
    <row r="192" spans="1:84" x14ac:dyDescent="0.3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S192" s="4"/>
      <c r="BT192" s="4"/>
      <c r="BU192" s="4"/>
      <c r="BV192" s="4"/>
      <c r="BW192" s="4"/>
      <c r="BX192" s="4"/>
      <c r="BY192" s="4"/>
      <c r="BZ192" s="4"/>
      <c r="CA192" s="4"/>
      <c r="CB192" s="4"/>
      <c r="CC192" s="4"/>
      <c r="CD192" s="4"/>
      <c r="CE192" s="4"/>
      <c r="CF192" s="4"/>
    </row>
    <row r="193" spans="1:84" x14ac:dyDescent="0.3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S193" s="4"/>
      <c r="BT193" s="4"/>
      <c r="BU193" s="4"/>
      <c r="BV193" s="4"/>
      <c r="BW193" s="4"/>
      <c r="BX193" s="4"/>
      <c r="BY193" s="4"/>
      <c r="BZ193" s="4"/>
      <c r="CA193" s="4"/>
      <c r="CB193" s="4"/>
      <c r="CC193" s="4"/>
      <c r="CD193" s="4"/>
      <c r="CE193" s="4"/>
      <c r="CF193" s="4"/>
    </row>
    <row r="194" spans="1:84" x14ac:dyDescent="0.3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S194" s="4"/>
      <c r="BT194" s="4"/>
      <c r="BU194" s="4"/>
      <c r="BV194" s="4"/>
      <c r="BW194" s="4"/>
      <c r="BX194" s="4"/>
      <c r="BY194" s="4"/>
      <c r="BZ194" s="4"/>
      <c r="CA194" s="4"/>
      <c r="CB194" s="4"/>
      <c r="CC194" s="4"/>
      <c r="CD194" s="4"/>
      <c r="CE194" s="4"/>
      <c r="CF194" s="4"/>
    </row>
    <row r="195" spans="1:84" x14ac:dyDescent="0.3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S195" s="4"/>
      <c r="BT195" s="4"/>
      <c r="BU195" s="4"/>
      <c r="BV195" s="4"/>
      <c r="BW195" s="4"/>
      <c r="BX195" s="4"/>
      <c r="BY195" s="4"/>
      <c r="BZ195" s="4"/>
      <c r="CA195" s="4"/>
      <c r="CB195" s="4"/>
      <c r="CC195" s="4"/>
      <c r="CD195" s="4"/>
      <c r="CE195" s="4"/>
      <c r="CF195" s="4"/>
    </row>
    <row r="196" spans="1:84" x14ac:dyDescent="0.3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S196" s="4"/>
      <c r="BT196" s="4"/>
      <c r="BU196" s="4"/>
      <c r="BV196" s="4"/>
      <c r="BW196" s="4"/>
      <c r="BX196" s="4"/>
      <c r="BY196" s="4"/>
      <c r="BZ196" s="4"/>
      <c r="CA196" s="4"/>
      <c r="CB196" s="4"/>
      <c r="CC196" s="4"/>
      <c r="CD196" s="4"/>
      <c r="CE196" s="4"/>
      <c r="CF196" s="4"/>
    </row>
    <row r="197" spans="1:84" x14ac:dyDescent="0.3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S197" s="4"/>
      <c r="BT197" s="4"/>
      <c r="BU197" s="4"/>
      <c r="BV197" s="4"/>
      <c r="BW197" s="4"/>
      <c r="BX197" s="4"/>
      <c r="BY197" s="4"/>
      <c r="BZ197" s="4"/>
      <c r="CA197" s="4"/>
      <c r="CB197" s="4"/>
      <c r="CC197" s="4"/>
      <c r="CD197" s="4"/>
      <c r="CE197" s="4"/>
      <c r="CF197" s="4"/>
    </row>
    <row r="198" spans="1:84" x14ac:dyDescent="0.3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S198" s="4"/>
      <c r="BT198" s="4"/>
      <c r="BU198" s="4"/>
      <c r="BV198" s="4"/>
      <c r="BW198" s="4"/>
      <c r="BX198" s="4"/>
      <c r="BY198" s="4"/>
      <c r="BZ198" s="4"/>
      <c r="CA198" s="4"/>
      <c r="CB198" s="4"/>
      <c r="CC198" s="4"/>
      <c r="CD198" s="4"/>
      <c r="CE198" s="4"/>
      <c r="CF198" s="4"/>
    </row>
    <row r="199" spans="1:84" x14ac:dyDescent="0.3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S199" s="4"/>
      <c r="BT199" s="4"/>
      <c r="BU199" s="4"/>
      <c r="BV199" s="4"/>
      <c r="BW199" s="4"/>
      <c r="BX199" s="4"/>
      <c r="BY199" s="4"/>
      <c r="BZ199" s="4"/>
      <c r="CA199" s="4"/>
      <c r="CB199" s="4"/>
      <c r="CC199" s="4"/>
      <c r="CD199" s="4"/>
      <c r="CE199" s="4"/>
      <c r="CF199" s="4"/>
    </row>
    <row r="200" spans="1:84" x14ac:dyDescent="0.3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S200" s="4"/>
      <c r="BT200" s="4"/>
      <c r="BU200" s="4"/>
      <c r="BV200" s="4"/>
      <c r="BW200" s="4"/>
      <c r="BX200" s="4"/>
      <c r="BY200" s="4"/>
      <c r="BZ200" s="4"/>
      <c r="CA200" s="4"/>
      <c r="CB200" s="4"/>
      <c r="CC200" s="4"/>
      <c r="CD200" s="4"/>
      <c r="CE200" s="4"/>
      <c r="CF200" s="4"/>
    </row>
    <row r="201" spans="1:84" x14ac:dyDescent="0.3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S201" s="4"/>
      <c r="BT201" s="4"/>
      <c r="BU201" s="4"/>
      <c r="BV201" s="4"/>
      <c r="BW201" s="4"/>
      <c r="BX201" s="4"/>
      <c r="BY201" s="4"/>
      <c r="BZ201" s="4"/>
      <c r="CA201" s="4"/>
      <c r="CB201" s="4"/>
      <c r="CC201" s="4"/>
      <c r="CD201" s="4"/>
      <c r="CE201" s="4"/>
      <c r="CF201" s="4"/>
    </row>
    <row r="202" spans="1:84" x14ac:dyDescent="0.3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S202" s="4"/>
      <c r="BT202" s="4"/>
      <c r="BU202" s="4"/>
      <c r="BV202" s="4"/>
      <c r="BW202" s="4"/>
      <c r="BX202" s="4"/>
      <c r="BY202" s="4"/>
      <c r="BZ202" s="4"/>
      <c r="CA202" s="4"/>
      <c r="CB202" s="4"/>
      <c r="CC202" s="4"/>
      <c r="CD202" s="4"/>
      <c r="CE202" s="4"/>
      <c r="CF202" s="4"/>
    </row>
    <row r="203" spans="1:84" x14ac:dyDescent="0.3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S203" s="4"/>
      <c r="BT203" s="4"/>
      <c r="BU203" s="4"/>
      <c r="BV203" s="4"/>
      <c r="BW203" s="4"/>
      <c r="BX203" s="4"/>
      <c r="BY203" s="4"/>
      <c r="BZ203" s="4"/>
      <c r="CA203" s="4"/>
      <c r="CB203" s="4"/>
      <c r="CC203" s="4"/>
      <c r="CD203" s="4"/>
      <c r="CE203" s="4"/>
      <c r="CF203" s="4"/>
    </row>
    <row r="204" spans="1:84" x14ac:dyDescent="0.3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S204" s="4"/>
      <c r="BT204" s="4"/>
      <c r="BU204" s="4"/>
      <c r="BV204" s="4"/>
      <c r="BW204" s="4"/>
      <c r="BX204" s="4"/>
      <c r="BY204" s="4"/>
      <c r="BZ204" s="4"/>
      <c r="CA204" s="4"/>
      <c r="CB204" s="4"/>
      <c r="CC204" s="4"/>
      <c r="CD204" s="4"/>
      <c r="CE204" s="4"/>
      <c r="CF204" s="4"/>
    </row>
    <row r="205" spans="1:84" x14ac:dyDescent="0.3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S205" s="4"/>
      <c r="BT205" s="4"/>
      <c r="BU205" s="4"/>
      <c r="BV205" s="4"/>
      <c r="BW205" s="4"/>
      <c r="BX205" s="4"/>
      <c r="BY205" s="4"/>
      <c r="BZ205" s="4"/>
      <c r="CA205" s="4"/>
      <c r="CB205" s="4"/>
      <c r="CC205" s="4"/>
      <c r="CD205" s="4"/>
      <c r="CE205" s="4"/>
      <c r="CF205" s="4"/>
    </row>
    <row r="206" spans="1:84" x14ac:dyDescent="0.3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S206" s="4"/>
      <c r="BT206" s="4"/>
      <c r="BU206" s="4"/>
      <c r="BV206" s="4"/>
      <c r="BW206" s="4"/>
      <c r="BX206" s="4"/>
      <c r="BY206" s="4"/>
      <c r="BZ206" s="4"/>
      <c r="CA206" s="4"/>
      <c r="CB206" s="4"/>
      <c r="CC206" s="4"/>
      <c r="CD206" s="4"/>
      <c r="CE206" s="4"/>
      <c r="CF206" s="4"/>
    </row>
    <row r="207" spans="1:84" x14ac:dyDescent="0.3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S207" s="4"/>
      <c r="BT207" s="4"/>
      <c r="BU207" s="4"/>
      <c r="BV207" s="4"/>
      <c r="BW207" s="4"/>
      <c r="BX207" s="4"/>
      <c r="BY207" s="4"/>
      <c r="BZ207" s="4"/>
      <c r="CA207" s="4"/>
      <c r="CB207" s="4"/>
      <c r="CC207" s="4"/>
      <c r="CD207" s="4"/>
      <c r="CE207" s="4"/>
      <c r="CF207" s="4"/>
    </row>
    <row r="208" spans="1:84" x14ac:dyDescent="0.3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S208" s="4"/>
      <c r="BT208" s="4"/>
      <c r="BU208" s="4"/>
      <c r="BV208" s="4"/>
      <c r="BW208" s="4"/>
      <c r="BX208" s="4"/>
      <c r="BY208" s="4"/>
      <c r="BZ208" s="4"/>
      <c r="CA208" s="4"/>
      <c r="CB208" s="4"/>
      <c r="CC208" s="4"/>
      <c r="CD208" s="4"/>
      <c r="CE208" s="4"/>
      <c r="CF208" s="4"/>
    </row>
    <row r="209" spans="1:84" x14ac:dyDescent="0.3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S209" s="4"/>
      <c r="BT209" s="4"/>
      <c r="BU209" s="4"/>
      <c r="BV209" s="4"/>
      <c r="BW209" s="4"/>
      <c r="BX209" s="4"/>
      <c r="BY209" s="4"/>
      <c r="BZ209" s="4"/>
      <c r="CA209" s="4"/>
      <c r="CB209" s="4"/>
      <c r="CC209" s="4"/>
      <c r="CD209" s="4"/>
      <c r="CE209" s="4"/>
      <c r="CF209" s="4"/>
    </row>
    <row r="210" spans="1:84" x14ac:dyDescent="0.3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S210" s="4"/>
      <c r="BT210" s="4"/>
      <c r="BU210" s="4"/>
      <c r="BV210" s="4"/>
      <c r="BW210" s="4"/>
      <c r="BX210" s="4"/>
      <c r="BY210" s="4"/>
      <c r="BZ210" s="4"/>
      <c r="CA210" s="4"/>
      <c r="CB210" s="4"/>
      <c r="CC210" s="4"/>
      <c r="CD210" s="4"/>
      <c r="CE210" s="4"/>
      <c r="CF210" s="4"/>
    </row>
    <row r="211" spans="1:84" x14ac:dyDescent="0.3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S211" s="4"/>
      <c r="BT211" s="4"/>
      <c r="BU211" s="4"/>
      <c r="BV211" s="4"/>
      <c r="BW211" s="4"/>
      <c r="BX211" s="4"/>
      <c r="BY211" s="4"/>
      <c r="BZ211" s="4"/>
      <c r="CA211" s="4"/>
      <c r="CB211" s="4"/>
      <c r="CC211" s="4"/>
      <c r="CD211" s="4"/>
      <c r="CE211" s="4"/>
      <c r="CF211" s="4"/>
    </row>
    <row r="212" spans="1:84" x14ac:dyDescent="0.3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S212" s="4"/>
      <c r="BT212" s="4"/>
      <c r="BU212" s="4"/>
      <c r="BV212" s="4"/>
      <c r="BW212" s="4"/>
      <c r="BX212" s="4"/>
      <c r="BY212" s="4"/>
      <c r="BZ212" s="4"/>
      <c r="CA212" s="4"/>
      <c r="CB212" s="4"/>
      <c r="CC212" s="4"/>
      <c r="CD212" s="4"/>
      <c r="CE212" s="4"/>
      <c r="CF212" s="4"/>
    </row>
    <row r="213" spans="1:84" x14ac:dyDescent="0.3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S213" s="4"/>
      <c r="BT213" s="4"/>
      <c r="BU213" s="4"/>
      <c r="BV213" s="4"/>
      <c r="BW213" s="4"/>
      <c r="BX213" s="4"/>
      <c r="BY213" s="4"/>
      <c r="BZ213" s="4"/>
      <c r="CA213" s="4"/>
      <c r="CB213" s="4"/>
      <c r="CC213" s="4"/>
      <c r="CD213" s="4"/>
      <c r="CE213" s="4"/>
      <c r="CF213" s="4"/>
    </row>
    <row r="214" spans="1:84" x14ac:dyDescent="0.3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S214" s="4"/>
      <c r="BT214" s="4"/>
      <c r="BU214" s="4"/>
      <c r="BV214" s="4"/>
      <c r="BW214" s="4"/>
      <c r="BX214" s="4"/>
      <c r="BY214" s="4"/>
      <c r="BZ214" s="4"/>
      <c r="CA214" s="4"/>
      <c r="CB214" s="4"/>
      <c r="CC214" s="4"/>
      <c r="CD214" s="4"/>
      <c r="CE214" s="4"/>
      <c r="CF214" s="4"/>
    </row>
    <row r="215" spans="1:84" x14ac:dyDescent="0.3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S215" s="4"/>
      <c r="BT215" s="4"/>
      <c r="BU215" s="4"/>
      <c r="BV215" s="4"/>
      <c r="BW215" s="4"/>
      <c r="BX215" s="4"/>
      <c r="BY215" s="4"/>
      <c r="BZ215" s="4"/>
      <c r="CA215" s="4"/>
      <c r="CB215" s="4"/>
      <c r="CC215" s="4"/>
      <c r="CD215" s="4"/>
      <c r="CE215" s="4"/>
      <c r="CF215" s="4"/>
    </row>
    <row r="216" spans="1:84" x14ac:dyDescent="0.3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S216" s="4"/>
      <c r="BT216" s="4"/>
      <c r="BU216" s="4"/>
      <c r="BV216" s="4"/>
      <c r="BW216" s="4"/>
      <c r="BX216" s="4"/>
      <c r="BY216" s="4"/>
      <c r="BZ216" s="4"/>
      <c r="CA216" s="4"/>
      <c r="CB216" s="4"/>
      <c r="CC216" s="4"/>
      <c r="CD216" s="4"/>
      <c r="CE216" s="4"/>
      <c r="CF216" s="4"/>
    </row>
    <row r="217" spans="1:84" x14ac:dyDescent="0.3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S217" s="4"/>
      <c r="BT217" s="4"/>
      <c r="BU217" s="4"/>
      <c r="BV217" s="4"/>
      <c r="BW217" s="4"/>
      <c r="BX217" s="4"/>
      <c r="BY217" s="4"/>
      <c r="BZ217" s="4"/>
      <c r="CA217" s="4"/>
      <c r="CB217" s="4"/>
      <c r="CC217" s="4"/>
      <c r="CD217" s="4"/>
      <c r="CE217" s="4"/>
      <c r="CF217" s="4"/>
    </row>
    <row r="218" spans="1:84" x14ac:dyDescent="0.3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S218" s="4"/>
      <c r="BT218" s="4"/>
      <c r="BU218" s="4"/>
      <c r="BV218" s="4"/>
      <c r="BW218" s="4"/>
      <c r="BX218" s="4"/>
      <c r="BY218" s="4"/>
      <c r="BZ218" s="4"/>
      <c r="CA218" s="4"/>
      <c r="CB218" s="4"/>
      <c r="CC218" s="4"/>
      <c r="CD218" s="4"/>
      <c r="CE218" s="4"/>
      <c r="CF218" s="4"/>
    </row>
    <row r="219" spans="1:84" x14ac:dyDescent="0.3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S219" s="4"/>
      <c r="BT219" s="4"/>
      <c r="BU219" s="4"/>
      <c r="BV219" s="4"/>
      <c r="BW219" s="4"/>
      <c r="BX219" s="4"/>
      <c r="BY219" s="4"/>
      <c r="BZ219" s="4"/>
      <c r="CA219" s="4"/>
      <c r="CB219" s="4"/>
      <c r="CC219" s="4"/>
      <c r="CD219" s="4"/>
      <c r="CE219" s="4"/>
      <c r="CF219" s="4"/>
    </row>
    <row r="220" spans="1:84" x14ac:dyDescent="0.3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S220" s="4"/>
      <c r="BT220" s="4"/>
      <c r="BU220" s="4"/>
      <c r="BV220" s="4"/>
      <c r="BW220" s="4"/>
      <c r="BX220" s="4"/>
      <c r="BY220" s="4"/>
      <c r="BZ220" s="4"/>
      <c r="CA220" s="4"/>
      <c r="CB220" s="4"/>
      <c r="CC220" s="4"/>
      <c r="CD220" s="4"/>
      <c r="CE220" s="4"/>
      <c r="CF220" s="4"/>
    </row>
    <row r="221" spans="1:84" x14ac:dyDescent="0.3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S221" s="4"/>
      <c r="BT221" s="4"/>
      <c r="BU221" s="4"/>
      <c r="BV221" s="4"/>
      <c r="BW221" s="4"/>
      <c r="BX221" s="4"/>
      <c r="BY221" s="4"/>
      <c r="BZ221" s="4"/>
      <c r="CA221" s="4"/>
      <c r="CB221" s="4"/>
      <c r="CC221" s="4"/>
      <c r="CD221" s="4"/>
      <c r="CE221" s="4"/>
      <c r="CF221" s="4"/>
    </row>
    <row r="222" spans="1:84" x14ac:dyDescent="0.3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S222" s="4"/>
      <c r="BT222" s="4"/>
      <c r="BU222" s="4"/>
      <c r="BV222" s="4"/>
      <c r="BW222" s="4"/>
      <c r="BX222" s="4"/>
      <c r="BY222" s="4"/>
      <c r="BZ222" s="4"/>
      <c r="CA222" s="4"/>
      <c r="CB222" s="4"/>
      <c r="CC222" s="4"/>
      <c r="CD222" s="4"/>
      <c r="CE222" s="4"/>
      <c r="CF222" s="4"/>
    </row>
    <row r="223" spans="1:84" x14ac:dyDescent="0.3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S223" s="4"/>
      <c r="BT223" s="4"/>
      <c r="BU223" s="4"/>
      <c r="BV223" s="4"/>
      <c r="BW223" s="4"/>
      <c r="BX223" s="4"/>
      <c r="BY223" s="4"/>
      <c r="BZ223" s="4"/>
      <c r="CA223" s="4"/>
      <c r="CB223" s="4"/>
      <c r="CC223" s="4"/>
      <c r="CD223" s="4"/>
      <c r="CE223" s="4"/>
      <c r="CF223" s="4"/>
    </row>
    <row r="224" spans="1:84" x14ac:dyDescent="0.3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S224" s="4"/>
      <c r="BT224" s="4"/>
      <c r="BU224" s="4"/>
      <c r="BV224" s="4"/>
      <c r="BW224" s="4"/>
      <c r="BX224" s="4"/>
      <c r="BY224" s="4"/>
      <c r="BZ224" s="4"/>
      <c r="CA224" s="4"/>
      <c r="CB224" s="4"/>
      <c r="CC224" s="4"/>
      <c r="CD224" s="4"/>
      <c r="CE224" s="4"/>
      <c r="CF224" s="4"/>
    </row>
    <row r="225" spans="1:84" x14ac:dyDescent="0.3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S225" s="4"/>
      <c r="BT225" s="4"/>
      <c r="BU225" s="4"/>
      <c r="BV225" s="4"/>
      <c r="BW225" s="4"/>
      <c r="BX225" s="4"/>
      <c r="BY225" s="4"/>
      <c r="BZ225" s="4"/>
      <c r="CA225" s="4"/>
      <c r="CB225" s="4"/>
      <c r="CC225" s="4"/>
      <c r="CD225" s="4"/>
      <c r="CE225" s="4"/>
      <c r="CF225" s="4"/>
    </row>
    <row r="226" spans="1:84" x14ac:dyDescent="0.3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S226" s="4"/>
      <c r="BT226" s="4"/>
      <c r="BU226" s="4"/>
      <c r="BV226" s="4"/>
      <c r="BW226" s="4"/>
      <c r="BX226" s="4"/>
      <c r="BY226" s="4"/>
      <c r="BZ226" s="4"/>
      <c r="CA226" s="4"/>
      <c r="CB226" s="4"/>
      <c r="CC226" s="4"/>
      <c r="CD226" s="4"/>
      <c r="CE226" s="4"/>
      <c r="CF226" s="4"/>
    </row>
    <row r="227" spans="1:84" x14ac:dyDescent="0.3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S227" s="4"/>
      <c r="BT227" s="4"/>
      <c r="BU227" s="4"/>
      <c r="BV227" s="4"/>
      <c r="BW227" s="4"/>
      <c r="BX227" s="4"/>
      <c r="BY227" s="4"/>
      <c r="BZ227" s="4"/>
      <c r="CA227" s="4"/>
      <c r="CB227" s="4"/>
      <c r="CC227" s="4"/>
      <c r="CD227" s="4"/>
      <c r="CE227" s="4"/>
      <c r="CF227" s="4"/>
    </row>
    <row r="228" spans="1:84" x14ac:dyDescent="0.3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S228" s="4"/>
      <c r="BT228" s="4"/>
      <c r="BU228" s="4"/>
      <c r="BV228" s="4"/>
      <c r="BW228" s="4"/>
      <c r="BX228" s="4"/>
      <c r="BY228" s="4"/>
      <c r="BZ228" s="4"/>
      <c r="CA228" s="4"/>
      <c r="CB228" s="4"/>
      <c r="CC228" s="4"/>
      <c r="CD228" s="4"/>
      <c r="CE228" s="4"/>
      <c r="CF228" s="4"/>
    </row>
    <row r="229" spans="1:84" x14ac:dyDescent="0.3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S229" s="4"/>
      <c r="BT229" s="4"/>
      <c r="BU229" s="4"/>
      <c r="BV229" s="4"/>
      <c r="BW229" s="4"/>
      <c r="BX229" s="4"/>
      <c r="BY229" s="4"/>
      <c r="BZ229" s="4"/>
      <c r="CA229" s="4"/>
      <c r="CB229" s="4"/>
      <c r="CC229" s="4"/>
      <c r="CD229" s="4"/>
      <c r="CE229" s="4"/>
      <c r="CF229" s="4"/>
    </row>
    <row r="230" spans="1:84" x14ac:dyDescent="0.3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S230" s="4"/>
      <c r="BT230" s="4"/>
      <c r="BU230" s="4"/>
      <c r="BV230" s="4"/>
      <c r="BW230" s="4"/>
      <c r="BX230" s="4"/>
      <c r="BY230" s="4"/>
      <c r="BZ230" s="4"/>
      <c r="CA230" s="4"/>
      <c r="CB230" s="4"/>
      <c r="CC230" s="4"/>
      <c r="CD230" s="4"/>
      <c r="CE230" s="4"/>
      <c r="CF230" s="4"/>
    </row>
    <row r="231" spans="1:84" x14ac:dyDescent="0.3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S231" s="4"/>
      <c r="BT231" s="4"/>
      <c r="BU231" s="4"/>
      <c r="BV231" s="4"/>
      <c r="BW231" s="4"/>
      <c r="BX231" s="4"/>
      <c r="BY231" s="4"/>
      <c r="BZ231" s="4"/>
      <c r="CA231" s="4"/>
      <c r="CB231" s="4"/>
      <c r="CC231" s="4"/>
      <c r="CD231" s="4"/>
      <c r="CE231" s="4"/>
      <c r="CF231" s="4"/>
    </row>
    <row r="232" spans="1:84" x14ac:dyDescent="0.3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S232" s="4"/>
      <c r="BT232" s="4"/>
      <c r="BU232" s="4"/>
      <c r="BV232" s="4"/>
      <c r="BW232" s="4"/>
      <c r="BX232" s="4"/>
      <c r="BY232" s="4"/>
      <c r="BZ232" s="4"/>
      <c r="CA232" s="4"/>
      <c r="CB232" s="4"/>
      <c r="CC232" s="4"/>
      <c r="CD232" s="4"/>
      <c r="CE232" s="4"/>
      <c r="CF232" s="4"/>
    </row>
    <row r="233" spans="1:84" x14ac:dyDescent="0.3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S233" s="4"/>
      <c r="BT233" s="4"/>
      <c r="BU233" s="4"/>
      <c r="BV233" s="4"/>
      <c r="BW233" s="4"/>
      <c r="BX233" s="4"/>
      <c r="BY233" s="4"/>
      <c r="BZ233" s="4"/>
      <c r="CA233" s="4"/>
      <c r="CB233" s="4"/>
      <c r="CC233" s="4"/>
      <c r="CD233" s="4"/>
      <c r="CE233" s="4"/>
      <c r="CF233" s="4"/>
    </row>
    <row r="234" spans="1:84" x14ac:dyDescent="0.3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S234" s="4"/>
      <c r="BT234" s="4"/>
      <c r="BU234" s="4"/>
      <c r="BV234" s="4"/>
      <c r="BW234" s="4"/>
      <c r="BX234" s="4"/>
      <c r="BY234" s="4"/>
      <c r="BZ234" s="4"/>
      <c r="CA234" s="4"/>
      <c r="CB234" s="4"/>
      <c r="CC234" s="4"/>
      <c r="CD234" s="4"/>
      <c r="CE234" s="4"/>
      <c r="CF234" s="4"/>
    </row>
    <row r="235" spans="1:84" x14ac:dyDescent="0.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S235" s="4"/>
      <c r="BT235" s="4"/>
      <c r="BU235" s="4"/>
      <c r="BV235" s="4"/>
      <c r="BW235" s="4"/>
      <c r="BX235" s="4"/>
      <c r="BY235" s="4"/>
      <c r="BZ235" s="4"/>
      <c r="CA235" s="4"/>
      <c r="CB235" s="4"/>
      <c r="CC235" s="4"/>
      <c r="CD235" s="4"/>
      <c r="CE235" s="4"/>
      <c r="CF235" s="4"/>
    </row>
    <row r="236" spans="1:84" x14ac:dyDescent="0.3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S236" s="4"/>
      <c r="BT236" s="4"/>
      <c r="BU236" s="4"/>
      <c r="BV236" s="4"/>
      <c r="BW236" s="4"/>
      <c r="BX236" s="4"/>
      <c r="BY236" s="4"/>
      <c r="BZ236" s="4"/>
      <c r="CA236" s="4"/>
      <c r="CB236" s="4"/>
      <c r="CC236" s="4"/>
      <c r="CD236" s="4"/>
      <c r="CE236" s="4"/>
      <c r="CF236" s="4"/>
    </row>
    <row r="237" spans="1:84" x14ac:dyDescent="0.3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S237" s="4"/>
      <c r="BT237" s="4"/>
      <c r="BU237" s="4"/>
      <c r="BV237" s="4"/>
      <c r="BW237" s="4"/>
      <c r="BX237" s="4"/>
      <c r="BY237" s="4"/>
      <c r="BZ237" s="4"/>
      <c r="CA237" s="4"/>
      <c r="CB237" s="4"/>
      <c r="CC237" s="4"/>
      <c r="CD237" s="4"/>
      <c r="CE237" s="4"/>
      <c r="CF237" s="4"/>
    </row>
    <row r="238" spans="1:84" x14ac:dyDescent="0.3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S238" s="4"/>
      <c r="BT238" s="4"/>
      <c r="BU238" s="4"/>
      <c r="BV238" s="4"/>
      <c r="BW238" s="4"/>
      <c r="BX238" s="4"/>
      <c r="BY238" s="4"/>
      <c r="BZ238" s="4"/>
      <c r="CA238" s="4"/>
      <c r="CB238" s="4"/>
      <c r="CC238" s="4"/>
      <c r="CD238" s="4"/>
      <c r="CE238" s="4"/>
      <c r="CF238" s="4"/>
    </row>
    <row r="239" spans="1:84" x14ac:dyDescent="0.3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S239" s="4"/>
      <c r="BT239" s="4"/>
      <c r="BU239" s="4"/>
      <c r="BV239" s="4"/>
      <c r="BW239" s="4"/>
      <c r="BX239" s="4"/>
      <c r="BY239" s="4"/>
      <c r="BZ239" s="4"/>
      <c r="CA239" s="4"/>
      <c r="CB239" s="4"/>
      <c r="CC239" s="4"/>
      <c r="CD239" s="4"/>
      <c r="CE239" s="4"/>
      <c r="CF239" s="4"/>
    </row>
    <row r="240" spans="1:84" x14ac:dyDescent="0.3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S240" s="4"/>
      <c r="BT240" s="4"/>
      <c r="BU240" s="4"/>
      <c r="BV240" s="4"/>
      <c r="BW240" s="4"/>
      <c r="BX240" s="4"/>
      <c r="BY240" s="4"/>
      <c r="BZ240" s="4"/>
      <c r="CA240" s="4"/>
      <c r="CB240" s="4"/>
      <c r="CC240" s="4"/>
      <c r="CD240" s="4"/>
      <c r="CE240" s="4"/>
      <c r="CF240" s="4"/>
    </row>
    <row r="241" spans="1:84" x14ac:dyDescent="0.3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S241" s="4"/>
      <c r="BT241" s="4"/>
      <c r="BU241" s="4"/>
      <c r="BV241" s="4"/>
      <c r="BW241" s="4"/>
      <c r="BX241" s="4"/>
      <c r="BY241" s="4"/>
      <c r="BZ241" s="4"/>
      <c r="CA241" s="4"/>
      <c r="CB241" s="4"/>
      <c r="CC241" s="4"/>
      <c r="CD241" s="4"/>
      <c r="CE241" s="4"/>
      <c r="CF241" s="4"/>
    </row>
    <row r="242" spans="1:84" x14ac:dyDescent="0.3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S242" s="4"/>
      <c r="BT242" s="4"/>
      <c r="BU242" s="4"/>
      <c r="BV242" s="4"/>
      <c r="BW242" s="4"/>
      <c r="BX242" s="4"/>
      <c r="BY242" s="4"/>
      <c r="BZ242" s="4"/>
      <c r="CA242" s="4"/>
      <c r="CB242" s="4"/>
      <c r="CC242" s="4"/>
      <c r="CD242" s="4"/>
      <c r="CE242" s="4"/>
      <c r="CF242" s="4"/>
    </row>
    <row r="243" spans="1:84" x14ac:dyDescent="0.3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S243" s="4"/>
      <c r="BT243" s="4"/>
      <c r="BU243" s="4"/>
      <c r="BV243" s="4"/>
      <c r="BW243" s="4"/>
      <c r="BX243" s="4"/>
      <c r="BY243" s="4"/>
      <c r="BZ243" s="4"/>
      <c r="CA243" s="4"/>
      <c r="CB243" s="4"/>
      <c r="CC243" s="4"/>
      <c r="CD243" s="4"/>
      <c r="CE243" s="4"/>
      <c r="CF243" s="4"/>
    </row>
    <row r="244" spans="1:84" x14ac:dyDescent="0.3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S244" s="4"/>
      <c r="BT244" s="4"/>
      <c r="BU244" s="4"/>
      <c r="BV244" s="4"/>
      <c r="BW244" s="4"/>
      <c r="BX244" s="4"/>
      <c r="BY244" s="4"/>
      <c r="BZ244" s="4"/>
      <c r="CA244" s="4"/>
      <c r="CB244" s="4"/>
      <c r="CC244" s="4"/>
      <c r="CD244" s="4"/>
      <c r="CE244" s="4"/>
      <c r="CF244" s="4"/>
    </row>
    <row r="245" spans="1:84" x14ac:dyDescent="0.3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S245" s="4"/>
      <c r="BT245" s="4"/>
      <c r="BU245" s="4"/>
      <c r="BV245" s="4"/>
      <c r="BW245" s="4"/>
      <c r="BX245" s="4"/>
      <c r="BY245" s="4"/>
      <c r="BZ245" s="4"/>
      <c r="CA245" s="4"/>
      <c r="CB245" s="4"/>
      <c r="CC245" s="4"/>
      <c r="CD245" s="4"/>
      <c r="CE245" s="4"/>
      <c r="CF245" s="4"/>
    </row>
    <row r="246" spans="1:84" x14ac:dyDescent="0.3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S246" s="4"/>
      <c r="BT246" s="4"/>
      <c r="BU246" s="4"/>
      <c r="BV246" s="4"/>
      <c r="BW246" s="4"/>
      <c r="BX246" s="4"/>
      <c r="BY246" s="4"/>
      <c r="BZ246" s="4"/>
      <c r="CA246" s="4"/>
      <c r="CB246" s="4"/>
      <c r="CC246" s="4"/>
      <c r="CD246" s="4"/>
      <c r="CE246" s="4"/>
      <c r="CF246" s="4"/>
    </row>
    <row r="247" spans="1:84" x14ac:dyDescent="0.3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S247" s="4"/>
      <c r="BT247" s="4"/>
      <c r="BU247" s="4"/>
      <c r="BV247" s="4"/>
      <c r="BW247" s="4"/>
      <c r="BX247" s="4"/>
      <c r="BY247" s="4"/>
      <c r="BZ247" s="4"/>
      <c r="CA247" s="4"/>
      <c r="CB247" s="4"/>
      <c r="CC247" s="4"/>
      <c r="CD247" s="4"/>
      <c r="CE247" s="4"/>
      <c r="CF247" s="4"/>
    </row>
    <row r="248" spans="1:84" x14ac:dyDescent="0.3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S248" s="4"/>
      <c r="BT248" s="4"/>
      <c r="BU248" s="4"/>
      <c r="BV248" s="4"/>
      <c r="BW248" s="4"/>
      <c r="BX248" s="4"/>
      <c r="BY248" s="4"/>
      <c r="BZ248" s="4"/>
      <c r="CA248" s="4"/>
      <c r="CB248" s="4"/>
      <c r="CC248" s="4"/>
      <c r="CD248" s="4"/>
      <c r="CE248" s="4"/>
      <c r="CF248" s="4"/>
    </row>
    <row r="249" spans="1:84" x14ac:dyDescent="0.3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S249" s="4"/>
      <c r="BT249" s="4"/>
      <c r="BU249" s="4"/>
      <c r="BV249" s="4"/>
      <c r="BW249" s="4"/>
      <c r="BX249" s="4"/>
      <c r="BY249" s="4"/>
      <c r="BZ249" s="4"/>
      <c r="CA249" s="4"/>
      <c r="CB249" s="4"/>
      <c r="CC249" s="4"/>
      <c r="CD249" s="4"/>
      <c r="CE249" s="4"/>
      <c r="CF249" s="4"/>
    </row>
    <row r="250" spans="1:84" x14ac:dyDescent="0.3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S250" s="4"/>
      <c r="BT250" s="4"/>
      <c r="BU250" s="4"/>
      <c r="BV250" s="4"/>
      <c r="BW250" s="4"/>
      <c r="BX250" s="4"/>
      <c r="BY250" s="4"/>
      <c r="BZ250" s="4"/>
      <c r="CA250" s="4"/>
      <c r="CB250" s="4"/>
      <c r="CC250" s="4"/>
      <c r="CD250" s="4"/>
      <c r="CE250" s="4"/>
      <c r="CF250" s="4"/>
    </row>
    <row r="251" spans="1:84" x14ac:dyDescent="0.3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S251" s="4"/>
      <c r="BT251" s="4"/>
      <c r="BU251" s="4"/>
      <c r="BV251" s="4"/>
      <c r="BW251" s="4"/>
      <c r="BX251" s="4"/>
      <c r="BY251" s="4"/>
      <c r="BZ251" s="4"/>
      <c r="CA251" s="4"/>
      <c r="CB251" s="4"/>
      <c r="CC251" s="4"/>
      <c r="CD251" s="4"/>
      <c r="CE251" s="4"/>
      <c r="CF251" s="4"/>
    </row>
    <row r="252" spans="1:84" x14ac:dyDescent="0.3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S252" s="4"/>
      <c r="BT252" s="4"/>
      <c r="BU252" s="4"/>
      <c r="BV252" s="4"/>
      <c r="BW252" s="4"/>
      <c r="BX252" s="4"/>
      <c r="BY252" s="4"/>
      <c r="BZ252" s="4"/>
      <c r="CA252" s="4"/>
      <c r="CB252" s="4"/>
      <c r="CC252" s="4"/>
      <c r="CD252" s="4"/>
      <c r="CE252" s="4"/>
      <c r="CF252" s="4"/>
    </row>
    <row r="253" spans="1:84" x14ac:dyDescent="0.3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S253" s="4"/>
      <c r="BT253" s="4"/>
      <c r="BU253" s="4"/>
      <c r="BV253" s="4"/>
      <c r="BW253" s="4"/>
      <c r="BX253" s="4"/>
      <c r="BY253" s="4"/>
      <c r="BZ253" s="4"/>
      <c r="CA253" s="4"/>
      <c r="CB253" s="4"/>
      <c r="CC253" s="4"/>
      <c r="CD253" s="4"/>
      <c r="CE253" s="4"/>
      <c r="CF253" s="4"/>
    </row>
    <row r="254" spans="1:84" x14ac:dyDescent="0.3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S254" s="4"/>
      <c r="BT254" s="4"/>
      <c r="BU254" s="4"/>
      <c r="BV254" s="4"/>
      <c r="BW254" s="4"/>
      <c r="BX254" s="4"/>
      <c r="BY254" s="4"/>
      <c r="BZ254" s="4"/>
      <c r="CA254" s="4"/>
      <c r="CB254" s="4"/>
      <c r="CC254" s="4"/>
      <c r="CD254" s="4"/>
      <c r="CE254" s="4"/>
      <c r="CF254" s="4"/>
    </row>
    <row r="255" spans="1:84" x14ac:dyDescent="0.3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S255" s="4"/>
      <c r="BT255" s="4"/>
      <c r="BU255" s="4"/>
      <c r="BV255" s="4"/>
      <c r="BW255" s="4"/>
      <c r="BX255" s="4"/>
      <c r="BY255" s="4"/>
      <c r="BZ255" s="4"/>
      <c r="CA255" s="4"/>
      <c r="CB255" s="4"/>
      <c r="CC255" s="4"/>
      <c r="CD255" s="4"/>
      <c r="CE255" s="4"/>
      <c r="CF255" s="4"/>
    </row>
    <row r="256" spans="1:84" x14ac:dyDescent="0.3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S256" s="4"/>
      <c r="BT256" s="4"/>
      <c r="BU256" s="4"/>
      <c r="BV256" s="4"/>
      <c r="BW256" s="4"/>
      <c r="BX256" s="4"/>
      <c r="BY256" s="4"/>
      <c r="BZ256" s="4"/>
      <c r="CA256" s="4"/>
      <c r="CB256" s="4"/>
      <c r="CC256" s="4"/>
      <c r="CD256" s="4"/>
      <c r="CE256" s="4"/>
      <c r="CF256" s="4"/>
    </row>
    <row r="257" spans="1:84" x14ac:dyDescent="0.3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S257" s="4"/>
      <c r="BT257" s="4"/>
      <c r="BU257" s="4"/>
      <c r="BV257" s="4"/>
      <c r="BW257" s="4"/>
      <c r="BX257" s="4"/>
      <c r="BY257" s="4"/>
      <c r="BZ257" s="4"/>
      <c r="CA257" s="4"/>
      <c r="CB257" s="4"/>
      <c r="CC257" s="4"/>
      <c r="CD257" s="4"/>
      <c r="CE257" s="4"/>
      <c r="CF257" s="4"/>
    </row>
    <row r="258" spans="1:84" x14ac:dyDescent="0.3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S258" s="4"/>
      <c r="BT258" s="4"/>
      <c r="BU258" s="4"/>
      <c r="BV258" s="4"/>
      <c r="BW258" s="4"/>
      <c r="BX258" s="4"/>
      <c r="BY258" s="4"/>
      <c r="BZ258" s="4"/>
      <c r="CA258" s="4"/>
      <c r="CB258" s="4"/>
      <c r="CC258" s="4"/>
      <c r="CD258" s="4"/>
      <c r="CE258" s="4"/>
      <c r="CF258" s="4"/>
    </row>
    <row r="259" spans="1:84" x14ac:dyDescent="0.3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S259" s="4"/>
      <c r="BT259" s="4"/>
      <c r="BU259" s="4"/>
      <c r="BV259" s="4"/>
      <c r="BW259" s="4"/>
      <c r="BX259" s="4"/>
      <c r="BY259" s="4"/>
      <c r="BZ259" s="4"/>
      <c r="CA259" s="4"/>
      <c r="CB259" s="4"/>
      <c r="CC259" s="4"/>
      <c r="CD259" s="4"/>
      <c r="CE259" s="4"/>
      <c r="CF259" s="4"/>
    </row>
    <row r="260" spans="1:84" x14ac:dyDescent="0.3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S260" s="4"/>
      <c r="BT260" s="4"/>
      <c r="BU260" s="4"/>
      <c r="BV260" s="4"/>
      <c r="BW260" s="4"/>
      <c r="BX260" s="4"/>
      <c r="BY260" s="4"/>
      <c r="BZ260" s="4"/>
      <c r="CA260" s="4"/>
      <c r="CB260" s="4"/>
      <c r="CC260" s="4"/>
      <c r="CD260" s="4"/>
      <c r="CE260" s="4"/>
      <c r="CF260" s="4"/>
    </row>
    <row r="261" spans="1:84" x14ac:dyDescent="0.3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S261" s="4"/>
      <c r="BT261" s="4"/>
      <c r="BU261" s="4"/>
      <c r="BV261" s="4"/>
      <c r="BW261" s="4"/>
      <c r="BX261" s="4"/>
      <c r="BY261" s="4"/>
      <c r="BZ261" s="4"/>
      <c r="CA261" s="4"/>
      <c r="CB261" s="4"/>
      <c r="CC261" s="4"/>
      <c r="CD261" s="4"/>
      <c r="CE261" s="4"/>
      <c r="CF261" s="4"/>
    </row>
    <row r="262" spans="1:84" x14ac:dyDescent="0.3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S262" s="4"/>
      <c r="BT262" s="4"/>
      <c r="BU262" s="4"/>
      <c r="BV262" s="4"/>
      <c r="BW262" s="4"/>
      <c r="BX262" s="4"/>
      <c r="BY262" s="4"/>
      <c r="BZ262" s="4"/>
      <c r="CA262" s="4"/>
      <c r="CB262" s="4"/>
      <c r="CC262" s="4"/>
      <c r="CD262" s="4"/>
      <c r="CE262" s="4"/>
      <c r="CF262" s="4"/>
    </row>
    <row r="263" spans="1:84" x14ac:dyDescent="0.3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S263" s="4"/>
      <c r="BT263" s="4"/>
      <c r="BU263" s="4"/>
      <c r="BV263" s="4"/>
      <c r="BW263" s="4"/>
      <c r="BX263" s="4"/>
      <c r="BY263" s="4"/>
      <c r="BZ263" s="4"/>
      <c r="CA263" s="4"/>
      <c r="CB263" s="4"/>
      <c r="CC263" s="4"/>
      <c r="CD263" s="4"/>
      <c r="CE263" s="4"/>
      <c r="CF263" s="4"/>
    </row>
    <row r="264" spans="1:84" x14ac:dyDescent="0.3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S264" s="4"/>
      <c r="BT264" s="4"/>
      <c r="BU264" s="4"/>
      <c r="BV264" s="4"/>
      <c r="BW264" s="4"/>
      <c r="BX264" s="4"/>
      <c r="BY264" s="4"/>
      <c r="BZ264" s="4"/>
      <c r="CA264" s="4"/>
      <c r="CB264" s="4"/>
      <c r="CC264" s="4"/>
      <c r="CD264" s="4"/>
      <c r="CE264" s="4"/>
      <c r="CF264" s="4"/>
    </row>
    <row r="265" spans="1:84" x14ac:dyDescent="0.3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S265" s="4"/>
      <c r="BT265" s="4"/>
      <c r="BU265" s="4"/>
      <c r="BV265" s="4"/>
      <c r="BW265" s="4"/>
      <c r="BX265" s="4"/>
      <c r="BY265" s="4"/>
      <c r="BZ265" s="4"/>
      <c r="CA265" s="4"/>
      <c r="CB265" s="4"/>
      <c r="CC265" s="4"/>
      <c r="CD265" s="4"/>
      <c r="CE265" s="4"/>
      <c r="CF265" s="4"/>
    </row>
    <row r="266" spans="1:84" x14ac:dyDescent="0.3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S266" s="4"/>
      <c r="BT266" s="4"/>
      <c r="BU266" s="4"/>
      <c r="BV266" s="4"/>
      <c r="BW266" s="4"/>
      <c r="BX266" s="4"/>
      <c r="BY266" s="4"/>
      <c r="BZ266" s="4"/>
      <c r="CA266" s="4"/>
      <c r="CB266" s="4"/>
      <c r="CC266" s="4"/>
      <c r="CD266" s="4"/>
      <c r="CE266" s="4"/>
      <c r="CF266" s="4"/>
    </row>
    <row r="267" spans="1:84" x14ac:dyDescent="0.3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S267" s="4"/>
      <c r="BT267" s="4"/>
      <c r="BU267" s="4"/>
      <c r="BV267" s="4"/>
      <c r="BW267" s="4"/>
      <c r="BX267" s="4"/>
      <c r="BY267" s="4"/>
      <c r="BZ267" s="4"/>
      <c r="CA267" s="4"/>
      <c r="CB267" s="4"/>
      <c r="CC267" s="4"/>
      <c r="CD267" s="4"/>
      <c r="CE267" s="4"/>
      <c r="CF267" s="4"/>
    </row>
    <row r="268" spans="1:84" x14ac:dyDescent="0.3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S268" s="4"/>
      <c r="BT268" s="4"/>
      <c r="BU268" s="4"/>
      <c r="BV268" s="4"/>
      <c r="BW268" s="4"/>
      <c r="BX268" s="4"/>
      <c r="BY268" s="4"/>
      <c r="BZ268" s="4"/>
      <c r="CA268" s="4"/>
      <c r="CB268" s="4"/>
      <c r="CC268" s="4"/>
      <c r="CD268" s="4"/>
      <c r="CE268" s="4"/>
      <c r="CF268" s="4"/>
    </row>
    <row r="269" spans="1:84" x14ac:dyDescent="0.3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S269" s="4"/>
      <c r="BT269" s="4"/>
      <c r="BU269" s="4"/>
      <c r="BV269" s="4"/>
      <c r="BW269" s="4"/>
      <c r="BX269" s="4"/>
      <c r="BY269" s="4"/>
      <c r="BZ269" s="4"/>
      <c r="CA269" s="4"/>
      <c r="CB269" s="4"/>
      <c r="CC269" s="4"/>
      <c r="CD269" s="4"/>
      <c r="CE269" s="4"/>
      <c r="CF269" s="4"/>
    </row>
    <row r="270" spans="1:84" x14ac:dyDescent="0.3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S270" s="4"/>
      <c r="BT270" s="4"/>
      <c r="BU270" s="4"/>
      <c r="BV270" s="4"/>
      <c r="BW270" s="4"/>
      <c r="BX270" s="4"/>
      <c r="BY270" s="4"/>
      <c r="BZ270" s="4"/>
      <c r="CA270" s="4"/>
      <c r="CB270" s="4"/>
      <c r="CC270" s="4"/>
      <c r="CD270" s="4"/>
      <c r="CE270" s="4"/>
      <c r="CF270" s="4"/>
    </row>
    <row r="271" spans="1:84" x14ac:dyDescent="0.3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S271" s="4"/>
      <c r="BT271" s="4"/>
      <c r="BU271" s="4"/>
      <c r="BV271" s="4"/>
      <c r="BW271" s="4"/>
      <c r="BX271" s="4"/>
      <c r="BY271" s="4"/>
      <c r="BZ271" s="4"/>
      <c r="CA271" s="4"/>
      <c r="CB271" s="4"/>
      <c r="CC271" s="4"/>
      <c r="CD271" s="4"/>
      <c r="CE271" s="4"/>
      <c r="CF271" s="4"/>
    </row>
    <row r="272" spans="1:84" x14ac:dyDescent="0.3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S272" s="4"/>
      <c r="BT272" s="4"/>
      <c r="BU272" s="4"/>
      <c r="BV272" s="4"/>
      <c r="BW272" s="4"/>
      <c r="BX272" s="4"/>
      <c r="BY272" s="4"/>
      <c r="BZ272" s="4"/>
      <c r="CA272" s="4"/>
      <c r="CB272" s="4"/>
      <c r="CC272" s="4"/>
      <c r="CD272" s="4"/>
      <c r="CE272" s="4"/>
      <c r="CF272" s="4"/>
    </row>
    <row r="273" spans="1:84" x14ac:dyDescent="0.3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S273" s="4"/>
      <c r="BT273" s="4"/>
      <c r="BU273" s="4"/>
      <c r="BV273" s="4"/>
      <c r="BW273" s="4"/>
      <c r="BX273" s="4"/>
      <c r="BY273" s="4"/>
      <c r="BZ273" s="4"/>
      <c r="CA273" s="4"/>
      <c r="CB273" s="4"/>
      <c r="CC273" s="4"/>
      <c r="CD273" s="4"/>
      <c r="CE273" s="4"/>
      <c r="CF273" s="4"/>
    </row>
    <row r="274" spans="1:84" x14ac:dyDescent="0.3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S274" s="4"/>
      <c r="BT274" s="4"/>
      <c r="BU274" s="4"/>
      <c r="BV274" s="4"/>
      <c r="BW274" s="4"/>
      <c r="BX274" s="4"/>
      <c r="BY274" s="4"/>
      <c r="BZ274" s="4"/>
      <c r="CA274" s="4"/>
      <c r="CB274" s="4"/>
      <c r="CC274" s="4"/>
      <c r="CD274" s="4"/>
      <c r="CE274" s="4"/>
      <c r="CF274" s="4"/>
    </row>
    <row r="275" spans="1:84" x14ac:dyDescent="0.3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S275" s="4"/>
      <c r="BT275" s="4"/>
      <c r="BU275" s="4"/>
      <c r="BV275" s="4"/>
      <c r="BW275" s="4"/>
      <c r="BX275" s="4"/>
      <c r="BY275" s="4"/>
      <c r="BZ275" s="4"/>
      <c r="CA275" s="4"/>
      <c r="CB275" s="4"/>
      <c r="CC275" s="4"/>
      <c r="CD275" s="4"/>
      <c r="CE275" s="4"/>
      <c r="CF275" s="4"/>
    </row>
    <row r="276" spans="1:84" x14ac:dyDescent="0.3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S276" s="4"/>
      <c r="BT276" s="4"/>
      <c r="BU276" s="4"/>
      <c r="BV276" s="4"/>
      <c r="BW276" s="4"/>
      <c r="BX276" s="4"/>
      <c r="BY276" s="4"/>
      <c r="BZ276" s="4"/>
      <c r="CA276" s="4"/>
      <c r="CB276" s="4"/>
      <c r="CC276" s="4"/>
      <c r="CD276" s="4"/>
      <c r="CE276" s="4"/>
      <c r="CF276" s="4"/>
    </row>
    <row r="277" spans="1:84" x14ac:dyDescent="0.3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S277" s="4"/>
      <c r="BT277" s="4"/>
      <c r="BU277" s="4"/>
      <c r="BV277" s="4"/>
      <c r="BW277" s="4"/>
      <c r="BX277" s="4"/>
      <c r="BY277" s="4"/>
      <c r="BZ277" s="4"/>
      <c r="CA277" s="4"/>
      <c r="CB277" s="4"/>
      <c r="CC277" s="4"/>
      <c r="CD277" s="4"/>
      <c r="CE277" s="4"/>
      <c r="CF277" s="4"/>
    </row>
    <row r="278" spans="1:84" x14ac:dyDescent="0.3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S278" s="4"/>
      <c r="BT278" s="4"/>
      <c r="BU278" s="4"/>
      <c r="BV278" s="4"/>
      <c r="BW278" s="4"/>
      <c r="BX278" s="4"/>
      <c r="BY278" s="4"/>
      <c r="BZ278" s="4"/>
      <c r="CA278" s="4"/>
      <c r="CB278" s="4"/>
      <c r="CC278" s="4"/>
      <c r="CD278" s="4"/>
      <c r="CE278" s="4"/>
      <c r="CF278" s="4"/>
    </row>
    <row r="279" spans="1:84" x14ac:dyDescent="0.3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S279" s="4"/>
      <c r="BT279" s="4"/>
      <c r="BU279" s="4"/>
      <c r="BV279" s="4"/>
      <c r="BW279" s="4"/>
      <c r="BX279" s="4"/>
      <c r="BY279" s="4"/>
      <c r="BZ279" s="4"/>
      <c r="CA279" s="4"/>
      <c r="CB279" s="4"/>
      <c r="CC279" s="4"/>
      <c r="CD279" s="4"/>
      <c r="CE279" s="4"/>
      <c r="CF279" s="4"/>
    </row>
    <row r="280" spans="1:84" x14ac:dyDescent="0.3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S280" s="4"/>
      <c r="BT280" s="4"/>
      <c r="BU280" s="4"/>
      <c r="BV280" s="4"/>
      <c r="BW280" s="4"/>
      <c r="BX280" s="4"/>
      <c r="BY280" s="4"/>
      <c r="BZ280" s="4"/>
      <c r="CA280" s="4"/>
      <c r="CB280" s="4"/>
      <c r="CC280" s="4"/>
      <c r="CD280" s="4"/>
      <c r="CE280" s="4"/>
      <c r="CF280" s="4"/>
    </row>
    <row r="281" spans="1:84" x14ac:dyDescent="0.3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S281" s="4"/>
      <c r="BT281" s="4"/>
      <c r="BU281" s="4"/>
      <c r="BV281" s="4"/>
      <c r="BW281" s="4"/>
      <c r="BX281" s="4"/>
      <c r="BY281" s="4"/>
      <c r="BZ281" s="4"/>
      <c r="CA281" s="4"/>
      <c r="CB281" s="4"/>
      <c r="CC281" s="4"/>
      <c r="CD281" s="4"/>
      <c r="CE281" s="4"/>
      <c r="CF281" s="4"/>
    </row>
    <row r="282" spans="1:84" x14ac:dyDescent="0.3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S282" s="4"/>
      <c r="BT282" s="4"/>
      <c r="BU282" s="4"/>
      <c r="BV282" s="4"/>
      <c r="BW282" s="4"/>
      <c r="BX282" s="4"/>
      <c r="BY282" s="4"/>
      <c r="BZ282" s="4"/>
      <c r="CA282" s="4"/>
      <c r="CB282" s="4"/>
      <c r="CC282" s="4"/>
      <c r="CD282" s="4"/>
      <c r="CE282" s="4"/>
      <c r="CF282" s="4"/>
    </row>
    <row r="283" spans="1:84" x14ac:dyDescent="0.3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S283" s="4"/>
      <c r="BT283" s="4"/>
      <c r="BU283" s="4"/>
      <c r="BV283" s="4"/>
      <c r="BW283" s="4"/>
      <c r="BX283" s="4"/>
      <c r="BY283" s="4"/>
      <c r="BZ283" s="4"/>
      <c r="CA283" s="4"/>
      <c r="CB283" s="4"/>
      <c r="CC283" s="4"/>
      <c r="CD283" s="4"/>
      <c r="CE283" s="4"/>
      <c r="CF283" s="4"/>
    </row>
    <row r="284" spans="1:84" x14ac:dyDescent="0.3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S284" s="4"/>
      <c r="BT284" s="4"/>
      <c r="BU284" s="4"/>
      <c r="BV284" s="4"/>
      <c r="BW284" s="4"/>
      <c r="BX284" s="4"/>
      <c r="BY284" s="4"/>
      <c r="BZ284" s="4"/>
      <c r="CA284" s="4"/>
      <c r="CB284" s="4"/>
      <c r="CC284" s="4"/>
      <c r="CD284" s="4"/>
      <c r="CE284" s="4"/>
      <c r="CF284" s="4"/>
    </row>
    <row r="285" spans="1:84" x14ac:dyDescent="0.3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S285" s="4"/>
      <c r="BT285" s="4"/>
      <c r="BU285" s="4"/>
      <c r="BV285" s="4"/>
      <c r="BW285" s="4"/>
      <c r="BX285" s="4"/>
      <c r="BY285" s="4"/>
      <c r="BZ285" s="4"/>
      <c r="CA285" s="4"/>
      <c r="CB285" s="4"/>
      <c r="CC285" s="4"/>
      <c r="CD285" s="4"/>
      <c r="CE285" s="4"/>
      <c r="CF285" s="4"/>
    </row>
    <row r="286" spans="1:84" x14ac:dyDescent="0.3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S286" s="4"/>
      <c r="BT286" s="4"/>
      <c r="BU286" s="4"/>
      <c r="BV286" s="4"/>
      <c r="BW286" s="4"/>
      <c r="BX286" s="4"/>
      <c r="BY286" s="4"/>
      <c r="BZ286" s="4"/>
      <c r="CA286" s="4"/>
      <c r="CB286" s="4"/>
      <c r="CC286" s="4"/>
      <c r="CD286" s="4"/>
      <c r="CE286" s="4"/>
      <c r="CF286" s="4"/>
    </row>
    <row r="287" spans="1:84" x14ac:dyDescent="0.3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S287" s="4"/>
      <c r="BT287" s="4"/>
      <c r="BU287" s="4"/>
      <c r="BV287" s="4"/>
      <c r="BW287" s="4"/>
      <c r="BX287" s="4"/>
      <c r="BY287" s="4"/>
      <c r="BZ287" s="4"/>
      <c r="CA287" s="4"/>
      <c r="CB287" s="4"/>
      <c r="CC287" s="4"/>
      <c r="CD287" s="4"/>
      <c r="CE287" s="4"/>
      <c r="CF287" s="4"/>
    </row>
    <row r="288" spans="1:84" x14ac:dyDescent="0.3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S288" s="4"/>
      <c r="BT288" s="4"/>
      <c r="BU288" s="4"/>
      <c r="BV288" s="4"/>
      <c r="BW288" s="4"/>
      <c r="BX288" s="4"/>
      <c r="BY288" s="4"/>
      <c r="BZ288" s="4"/>
      <c r="CA288" s="4"/>
      <c r="CB288" s="4"/>
      <c r="CC288" s="4"/>
      <c r="CD288" s="4"/>
      <c r="CE288" s="4"/>
      <c r="CF288" s="4"/>
    </row>
    <row r="289" spans="1:84" x14ac:dyDescent="0.3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S289" s="4"/>
      <c r="BT289" s="4"/>
      <c r="BU289" s="4"/>
      <c r="BV289" s="4"/>
      <c r="BW289" s="4"/>
      <c r="BX289" s="4"/>
      <c r="BY289" s="4"/>
      <c r="BZ289" s="4"/>
      <c r="CA289" s="4"/>
      <c r="CB289" s="4"/>
      <c r="CC289" s="4"/>
      <c r="CD289" s="4"/>
      <c r="CE289" s="4"/>
      <c r="CF289" s="4"/>
    </row>
    <row r="290" spans="1:84" x14ac:dyDescent="0.3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S290" s="4"/>
      <c r="BT290" s="4"/>
      <c r="BU290" s="4"/>
      <c r="BV290" s="4"/>
      <c r="BW290" s="4"/>
      <c r="BX290" s="4"/>
      <c r="BY290" s="4"/>
      <c r="BZ290" s="4"/>
      <c r="CA290" s="4"/>
      <c r="CB290" s="4"/>
      <c r="CC290" s="4"/>
      <c r="CD290" s="4"/>
      <c r="CE290" s="4"/>
      <c r="CF290" s="4"/>
    </row>
    <row r="291" spans="1:84" x14ac:dyDescent="0.3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S291" s="4"/>
      <c r="BT291" s="4"/>
      <c r="BU291" s="4"/>
      <c r="BV291" s="4"/>
      <c r="BW291" s="4"/>
      <c r="BX291" s="4"/>
      <c r="BY291" s="4"/>
      <c r="BZ291" s="4"/>
      <c r="CA291" s="4"/>
      <c r="CB291" s="4"/>
      <c r="CC291" s="4"/>
      <c r="CD291" s="4"/>
      <c r="CE291" s="4"/>
      <c r="CF291" s="4"/>
    </row>
    <row r="292" spans="1:84" x14ac:dyDescent="0.3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S292" s="4"/>
      <c r="BT292" s="4"/>
      <c r="BU292" s="4"/>
      <c r="BV292" s="4"/>
      <c r="BW292" s="4"/>
      <c r="BX292" s="4"/>
      <c r="BY292" s="4"/>
      <c r="BZ292" s="4"/>
      <c r="CA292" s="4"/>
      <c r="CB292" s="4"/>
      <c r="CC292" s="4"/>
      <c r="CD292" s="4"/>
      <c r="CE292" s="4"/>
      <c r="CF292" s="4"/>
    </row>
    <row r="293" spans="1:84" x14ac:dyDescent="0.3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S293" s="4"/>
      <c r="BT293" s="4"/>
      <c r="BU293" s="4"/>
      <c r="BV293" s="4"/>
      <c r="BW293" s="4"/>
      <c r="BX293" s="4"/>
      <c r="BY293" s="4"/>
      <c r="BZ293" s="4"/>
      <c r="CA293" s="4"/>
      <c r="CB293" s="4"/>
      <c r="CC293" s="4"/>
      <c r="CD293" s="4"/>
      <c r="CE293" s="4"/>
      <c r="CF293" s="4"/>
    </row>
    <row r="294" spans="1:84" x14ac:dyDescent="0.3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S294" s="4"/>
      <c r="BT294" s="4"/>
      <c r="BU294" s="4"/>
      <c r="BV294" s="4"/>
      <c r="BW294" s="4"/>
      <c r="BX294" s="4"/>
      <c r="BY294" s="4"/>
      <c r="BZ294" s="4"/>
      <c r="CA294" s="4"/>
      <c r="CB294" s="4"/>
      <c r="CC294" s="4"/>
      <c r="CD294" s="4"/>
      <c r="CE294" s="4"/>
      <c r="CF294" s="4"/>
    </row>
    <row r="295" spans="1:84" x14ac:dyDescent="0.3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S295" s="4"/>
      <c r="BT295" s="4"/>
      <c r="BU295" s="4"/>
      <c r="BV295" s="4"/>
      <c r="BW295" s="4"/>
      <c r="BX295" s="4"/>
      <c r="BY295" s="4"/>
      <c r="BZ295" s="4"/>
      <c r="CA295" s="4"/>
      <c r="CB295" s="4"/>
      <c r="CC295" s="4"/>
      <c r="CD295" s="4"/>
      <c r="CE295" s="4"/>
      <c r="CF295" s="4"/>
    </row>
    <row r="296" spans="1:84" x14ac:dyDescent="0.3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S296" s="4"/>
      <c r="BT296" s="4"/>
      <c r="BU296" s="4"/>
      <c r="BV296" s="4"/>
      <c r="BW296" s="4"/>
      <c r="BX296" s="4"/>
      <c r="BY296" s="4"/>
      <c r="BZ296" s="4"/>
      <c r="CA296" s="4"/>
      <c r="CB296" s="4"/>
      <c r="CC296" s="4"/>
      <c r="CD296" s="4"/>
      <c r="CE296" s="4"/>
      <c r="CF296" s="4"/>
    </row>
    <row r="297" spans="1:84" x14ac:dyDescent="0.3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S297" s="4"/>
      <c r="BT297" s="4"/>
      <c r="BU297" s="4"/>
      <c r="BV297" s="4"/>
      <c r="BW297" s="4"/>
      <c r="BX297" s="4"/>
      <c r="BY297" s="4"/>
      <c r="BZ297" s="4"/>
      <c r="CA297" s="4"/>
      <c r="CB297" s="4"/>
      <c r="CC297" s="4"/>
      <c r="CD297" s="4"/>
      <c r="CE297" s="4"/>
      <c r="CF297" s="4"/>
    </row>
    <row r="298" spans="1:84" x14ac:dyDescent="0.3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S298" s="4"/>
      <c r="BT298" s="4"/>
      <c r="BU298" s="4"/>
      <c r="BV298" s="4"/>
      <c r="BW298" s="4"/>
      <c r="BX298" s="4"/>
      <c r="BY298" s="4"/>
      <c r="BZ298" s="4"/>
      <c r="CA298" s="4"/>
      <c r="CB298" s="4"/>
      <c r="CC298" s="4"/>
      <c r="CD298" s="4"/>
      <c r="CE298" s="4"/>
      <c r="CF298" s="4"/>
    </row>
    <row r="299" spans="1:84" x14ac:dyDescent="0.3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S299" s="4"/>
      <c r="BT299" s="4"/>
      <c r="BU299" s="4"/>
      <c r="BV299" s="4"/>
      <c r="BW299" s="4"/>
      <c r="BX299" s="4"/>
      <c r="BY299" s="4"/>
      <c r="BZ299" s="4"/>
      <c r="CA299" s="4"/>
      <c r="CB299" s="4"/>
      <c r="CC299" s="4"/>
      <c r="CD299" s="4"/>
      <c r="CE299" s="4"/>
      <c r="CF299" s="4"/>
    </row>
    <row r="300" spans="1:84" x14ac:dyDescent="0.3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S300" s="4"/>
      <c r="BT300" s="4"/>
      <c r="BU300" s="4"/>
      <c r="BV300" s="4"/>
      <c r="BW300" s="4"/>
      <c r="BX300" s="4"/>
      <c r="BY300" s="4"/>
      <c r="BZ300" s="4"/>
      <c r="CA300" s="4"/>
      <c r="CB300" s="4"/>
      <c r="CC300" s="4"/>
      <c r="CD300" s="4"/>
      <c r="CE300" s="4"/>
      <c r="CF300" s="4"/>
    </row>
    <row r="301" spans="1:84" x14ac:dyDescent="0.3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S301" s="4"/>
      <c r="BT301" s="4"/>
      <c r="BU301" s="4"/>
      <c r="BV301" s="4"/>
      <c r="BW301" s="4"/>
      <c r="BX301" s="4"/>
      <c r="BY301" s="4"/>
      <c r="BZ301" s="4"/>
      <c r="CA301" s="4"/>
      <c r="CB301" s="4"/>
      <c r="CC301" s="4"/>
      <c r="CD301" s="4"/>
      <c r="CE301" s="4"/>
      <c r="CF301" s="4"/>
    </row>
    <row r="302" spans="1:84" x14ac:dyDescent="0.3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S302" s="4"/>
      <c r="BT302" s="4"/>
      <c r="BU302" s="4"/>
      <c r="BV302" s="4"/>
      <c r="BW302" s="4"/>
      <c r="BX302" s="4"/>
      <c r="BY302" s="4"/>
      <c r="BZ302" s="4"/>
      <c r="CA302" s="4"/>
      <c r="CB302" s="4"/>
      <c r="CC302" s="4"/>
      <c r="CD302" s="4"/>
      <c r="CE302" s="4"/>
      <c r="CF302" s="4"/>
    </row>
    <row r="303" spans="1:84" x14ac:dyDescent="0.3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S303" s="4"/>
      <c r="BT303" s="4"/>
      <c r="BU303" s="4"/>
      <c r="BV303" s="4"/>
      <c r="BW303" s="4"/>
      <c r="BX303" s="4"/>
      <c r="BY303" s="4"/>
      <c r="BZ303" s="4"/>
      <c r="CA303" s="4"/>
      <c r="CB303" s="4"/>
      <c r="CC303" s="4"/>
      <c r="CD303" s="4"/>
      <c r="CE303" s="4"/>
      <c r="CF303" s="4"/>
    </row>
    <row r="304" spans="1:84" x14ac:dyDescent="0.3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S304" s="4"/>
      <c r="BT304" s="4"/>
      <c r="BU304" s="4"/>
      <c r="BV304" s="4"/>
      <c r="BW304" s="4"/>
      <c r="BX304" s="4"/>
      <c r="BY304" s="4"/>
      <c r="BZ304" s="4"/>
      <c r="CA304" s="4"/>
      <c r="CB304" s="4"/>
      <c r="CC304" s="4"/>
      <c r="CD304" s="4"/>
      <c r="CE304" s="4"/>
      <c r="CF304" s="4"/>
    </row>
    <row r="305" spans="1:84" x14ac:dyDescent="0.3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S305" s="4"/>
      <c r="BT305" s="4"/>
      <c r="BU305" s="4"/>
      <c r="BV305" s="4"/>
      <c r="BW305" s="4"/>
      <c r="BX305" s="4"/>
      <c r="BY305" s="4"/>
      <c r="BZ305" s="4"/>
      <c r="CA305" s="4"/>
      <c r="CB305" s="4"/>
      <c r="CC305" s="4"/>
      <c r="CD305" s="4"/>
      <c r="CE305" s="4"/>
      <c r="CF305" s="4"/>
    </row>
    <row r="306" spans="1:84" x14ac:dyDescent="0.3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S306" s="4"/>
      <c r="BT306" s="4"/>
      <c r="BU306" s="4"/>
      <c r="BV306" s="4"/>
      <c r="BW306" s="4"/>
      <c r="BX306" s="4"/>
      <c r="BY306" s="4"/>
      <c r="BZ306" s="4"/>
      <c r="CA306" s="4"/>
      <c r="CB306" s="4"/>
      <c r="CC306" s="4"/>
      <c r="CD306" s="4"/>
      <c r="CE306" s="4"/>
      <c r="CF306" s="4"/>
    </row>
    <row r="307" spans="1:84" x14ac:dyDescent="0.3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S307" s="4"/>
      <c r="BT307" s="4"/>
      <c r="BU307" s="4"/>
      <c r="BV307" s="4"/>
      <c r="BW307" s="4"/>
      <c r="BX307" s="4"/>
      <c r="BY307" s="4"/>
      <c r="BZ307" s="4"/>
      <c r="CA307" s="4"/>
      <c r="CB307" s="4"/>
      <c r="CC307" s="4"/>
      <c r="CD307" s="4"/>
      <c r="CE307" s="4"/>
      <c r="CF307" s="4"/>
    </row>
    <row r="308" spans="1:84" x14ac:dyDescent="0.3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S308" s="4"/>
      <c r="BT308" s="4"/>
      <c r="BU308" s="4"/>
      <c r="BV308" s="4"/>
      <c r="BW308" s="4"/>
      <c r="BX308" s="4"/>
      <c r="BY308" s="4"/>
      <c r="BZ308" s="4"/>
      <c r="CA308" s="4"/>
      <c r="CB308" s="4"/>
      <c r="CC308" s="4"/>
      <c r="CD308" s="4"/>
      <c r="CE308" s="4"/>
      <c r="CF308" s="4"/>
    </row>
    <row r="309" spans="1:84" x14ac:dyDescent="0.3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S309" s="4"/>
      <c r="BT309" s="4"/>
      <c r="BU309" s="4"/>
      <c r="BV309" s="4"/>
      <c r="BW309" s="4"/>
      <c r="BX309" s="4"/>
      <c r="BY309" s="4"/>
      <c r="BZ309" s="4"/>
      <c r="CA309" s="4"/>
      <c r="CB309" s="4"/>
      <c r="CC309" s="4"/>
      <c r="CD309" s="4"/>
      <c r="CE309" s="4"/>
      <c r="CF309" s="4"/>
    </row>
    <row r="310" spans="1:84" x14ac:dyDescent="0.3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S310" s="4"/>
      <c r="BT310" s="4"/>
      <c r="BU310" s="4"/>
      <c r="BV310" s="4"/>
      <c r="BW310" s="4"/>
      <c r="BX310" s="4"/>
      <c r="BY310" s="4"/>
      <c r="BZ310" s="4"/>
      <c r="CA310" s="4"/>
      <c r="CB310" s="4"/>
      <c r="CC310" s="4"/>
      <c r="CD310" s="4"/>
      <c r="CE310" s="4"/>
      <c r="CF310" s="4"/>
    </row>
    <row r="311" spans="1:84" x14ac:dyDescent="0.3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S311" s="4"/>
      <c r="BT311" s="4"/>
      <c r="BU311" s="4"/>
      <c r="BV311" s="4"/>
      <c r="BW311" s="4"/>
      <c r="BX311" s="4"/>
      <c r="BY311" s="4"/>
      <c r="BZ311" s="4"/>
      <c r="CA311" s="4"/>
      <c r="CB311" s="4"/>
      <c r="CC311" s="4"/>
      <c r="CD311" s="4"/>
      <c r="CE311" s="4"/>
      <c r="CF311" s="4"/>
    </row>
    <row r="312" spans="1:84" x14ac:dyDescent="0.3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S312" s="4"/>
      <c r="BT312" s="4"/>
      <c r="BU312" s="4"/>
      <c r="BV312" s="4"/>
      <c r="BW312" s="4"/>
      <c r="BX312" s="4"/>
      <c r="BY312" s="4"/>
      <c r="BZ312" s="4"/>
      <c r="CA312" s="4"/>
      <c r="CB312" s="4"/>
      <c r="CC312" s="4"/>
      <c r="CD312" s="4"/>
      <c r="CE312" s="4"/>
      <c r="CF312" s="4"/>
    </row>
    <row r="313" spans="1:84" x14ac:dyDescent="0.3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S313" s="4"/>
      <c r="BT313" s="4"/>
      <c r="BU313" s="4"/>
      <c r="BV313" s="4"/>
      <c r="BW313" s="4"/>
      <c r="BX313" s="4"/>
      <c r="BY313" s="4"/>
      <c r="BZ313" s="4"/>
      <c r="CA313" s="4"/>
      <c r="CB313" s="4"/>
      <c r="CC313" s="4"/>
      <c r="CD313" s="4"/>
      <c r="CE313" s="4"/>
      <c r="CF313" s="4"/>
    </row>
    <row r="314" spans="1:84" x14ac:dyDescent="0.3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S314" s="4"/>
      <c r="BT314" s="4"/>
      <c r="BU314" s="4"/>
      <c r="BV314" s="4"/>
      <c r="BW314" s="4"/>
      <c r="BX314" s="4"/>
      <c r="BY314" s="4"/>
      <c r="BZ314" s="4"/>
      <c r="CA314" s="4"/>
      <c r="CB314" s="4"/>
      <c r="CC314" s="4"/>
      <c r="CD314" s="4"/>
      <c r="CE314" s="4"/>
      <c r="CF314" s="4"/>
    </row>
    <row r="315" spans="1:84" x14ac:dyDescent="0.3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S315" s="4"/>
      <c r="BT315" s="4"/>
      <c r="BU315" s="4"/>
      <c r="BV315" s="4"/>
      <c r="BW315" s="4"/>
      <c r="BX315" s="4"/>
      <c r="BY315" s="4"/>
      <c r="BZ315" s="4"/>
      <c r="CA315" s="4"/>
      <c r="CB315" s="4"/>
      <c r="CC315" s="4"/>
      <c r="CD315" s="4"/>
      <c r="CE315" s="4"/>
      <c r="CF315" s="4"/>
    </row>
    <row r="316" spans="1:84" x14ac:dyDescent="0.3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S316" s="4"/>
      <c r="BT316" s="4"/>
      <c r="BU316" s="4"/>
      <c r="BV316" s="4"/>
      <c r="BW316" s="4"/>
      <c r="BX316" s="4"/>
      <c r="BY316" s="4"/>
      <c r="BZ316" s="4"/>
      <c r="CA316" s="4"/>
      <c r="CB316" s="4"/>
      <c r="CC316" s="4"/>
      <c r="CD316" s="4"/>
      <c r="CE316" s="4"/>
      <c r="CF316" s="4"/>
    </row>
    <row r="317" spans="1:84" x14ac:dyDescent="0.3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S317" s="4"/>
      <c r="BT317" s="4"/>
      <c r="BU317" s="4"/>
      <c r="BV317" s="4"/>
      <c r="BW317" s="4"/>
      <c r="BX317" s="4"/>
      <c r="BY317" s="4"/>
      <c r="BZ317" s="4"/>
      <c r="CA317" s="4"/>
      <c r="CB317" s="4"/>
      <c r="CC317" s="4"/>
      <c r="CD317" s="4"/>
      <c r="CE317" s="4"/>
      <c r="CF317" s="4"/>
    </row>
    <row r="318" spans="1:84" x14ac:dyDescent="0.3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S318" s="4"/>
      <c r="BT318" s="4"/>
      <c r="BU318" s="4"/>
      <c r="BV318" s="4"/>
      <c r="BW318" s="4"/>
      <c r="BX318" s="4"/>
      <c r="BY318" s="4"/>
      <c r="BZ318" s="4"/>
      <c r="CA318" s="4"/>
      <c r="CB318" s="4"/>
      <c r="CC318" s="4"/>
      <c r="CD318" s="4"/>
      <c r="CE318" s="4"/>
      <c r="CF318" s="4"/>
    </row>
    <row r="319" spans="1:84" x14ac:dyDescent="0.3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S319" s="4"/>
      <c r="BT319" s="4"/>
      <c r="BU319" s="4"/>
      <c r="BV319" s="4"/>
      <c r="BW319" s="4"/>
      <c r="BX319" s="4"/>
      <c r="BY319" s="4"/>
      <c r="BZ319" s="4"/>
      <c r="CA319" s="4"/>
      <c r="CB319" s="4"/>
      <c r="CC319" s="4"/>
      <c r="CD319" s="4"/>
      <c r="CE319" s="4"/>
      <c r="CF319" s="4"/>
    </row>
    <row r="320" spans="1:84" x14ac:dyDescent="0.3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S320" s="4"/>
      <c r="BT320" s="4"/>
      <c r="BU320" s="4"/>
      <c r="BV320" s="4"/>
      <c r="BW320" s="4"/>
      <c r="BX320" s="4"/>
      <c r="BY320" s="4"/>
      <c r="BZ320" s="4"/>
      <c r="CA320" s="4"/>
      <c r="CB320" s="4"/>
      <c r="CC320" s="4"/>
      <c r="CD320" s="4"/>
      <c r="CE320" s="4"/>
      <c r="CF320" s="4"/>
    </row>
    <row r="321" spans="1:84" x14ac:dyDescent="0.3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S321" s="4"/>
      <c r="BT321" s="4"/>
      <c r="BU321" s="4"/>
      <c r="BV321" s="4"/>
      <c r="BW321" s="4"/>
      <c r="BX321" s="4"/>
      <c r="BY321" s="4"/>
      <c r="BZ321" s="4"/>
      <c r="CA321" s="4"/>
      <c r="CB321" s="4"/>
      <c r="CC321" s="4"/>
      <c r="CD321" s="4"/>
      <c r="CE321" s="4"/>
      <c r="CF321" s="4"/>
    </row>
    <row r="322" spans="1:84" x14ac:dyDescent="0.3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S322" s="4"/>
      <c r="BT322" s="4"/>
      <c r="BU322" s="4"/>
      <c r="BV322" s="4"/>
      <c r="BW322" s="4"/>
      <c r="BX322" s="4"/>
      <c r="BY322" s="4"/>
      <c r="BZ322" s="4"/>
      <c r="CA322" s="4"/>
      <c r="CB322" s="4"/>
      <c r="CC322" s="4"/>
      <c r="CD322" s="4"/>
      <c r="CE322" s="4"/>
      <c r="CF322" s="4"/>
    </row>
    <row r="323" spans="1:84" x14ac:dyDescent="0.3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S323" s="4"/>
      <c r="BT323" s="4"/>
      <c r="BU323" s="4"/>
      <c r="BV323" s="4"/>
      <c r="BW323" s="4"/>
      <c r="BX323" s="4"/>
      <c r="BY323" s="4"/>
      <c r="BZ323" s="4"/>
      <c r="CA323" s="4"/>
      <c r="CB323" s="4"/>
      <c r="CC323" s="4"/>
      <c r="CD323" s="4"/>
      <c r="CE323" s="4"/>
      <c r="CF323" s="4"/>
    </row>
    <row r="324" spans="1:84" x14ac:dyDescent="0.3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S324" s="4"/>
      <c r="BT324" s="4"/>
      <c r="BU324" s="4"/>
      <c r="BV324" s="4"/>
      <c r="BW324" s="4"/>
      <c r="BX324" s="4"/>
      <c r="BY324" s="4"/>
      <c r="BZ324" s="4"/>
      <c r="CA324" s="4"/>
      <c r="CB324" s="4"/>
      <c r="CC324" s="4"/>
      <c r="CD324" s="4"/>
      <c r="CE324" s="4"/>
      <c r="CF324" s="4"/>
    </row>
    <row r="325" spans="1:84" x14ac:dyDescent="0.3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S325" s="4"/>
      <c r="BT325" s="4"/>
      <c r="BU325" s="4"/>
      <c r="BV325" s="4"/>
      <c r="BW325" s="4"/>
      <c r="BX325" s="4"/>
      <c r="BY325" s="4"/>
      <c r="BZ325" s="4"/>
      <c r="CA325" s="4"/>
      <c r="CB325" s="4"/>
      <c r="CC325" s="4"/>
      <c r="CD325" s="4"/>
      <c r="CE325" s="4"/>
      <c r="CF325" s="4"/>
    </row>
    <row r="326" spans="1:84" x14ac:dyDescent="0.3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S326" s="4"/>
      <c r="BT326" s="4"/>
      <c r="BU326" s="4"/>
      <c r="BV326" s="4"/>
      <c r="BW326" s="4"/>
      <c r="BX326" s="4"/>
      <c r="BY326" s="4"/>
      <c r="BZ326" s="4"/>
      <c r="CA326" s="4"/>
      <c r="CB326" s="4"/>
      <c r="CC326" s="4"/>
      <c r="CD326" s="4"/>
      <c r="CE326" s="4"/>
      <c r="CF326" s="4"/>
    </row>
    <row r="327" spans="1:84" x14ac:dyDescent="0.3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S327" s="4"/>
      <c r="BT327" s="4"/>
      <c r="BU327" s="4"/>
      <c r="BV327" s="4"/>
      <c r="BW327" s="4"/>
      <c r="BX327" s="4"/>
      <c r="BY327" s="4"/>
      <c r="BZ327" s="4"/>
      <c r="CA327" s="4"/>
      <c r="CB327" s="4"/>
      <c r="CC327" s="4"/>
      <c r="CD327" s="4"/>
      <c r="CE327" s="4"/>
      <c r="CF327" s="4"/>
    </row>
    <row r="328" spans="1:84" x14ac:dyDescent="0.3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S328" s="4"/>
      <c r="BT328" s="4"/>
      <c r="BU328" s="4"/>
      <c r="BV328" s="4"/>
      <c r="BW328" s="4"/>
      <c r="BX328" s="4"/>
      <c r="BY328" s="4"/>
      <c r="BZ328" s="4"/>
      <c r="CA328" s="4"/>
      <c r="CB328" s="4"/>
      <c r="CC328" s="4"/>
      <c r="CD328" s="4"/>
      <c r="CE328" s="4"/>
      <c r="CF328" s="4"/>
    </row>
    <row r="329" spans="1:84" x14ac:dyDescent="0.3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S329" s="4"/>
      <c r="BT329" s="4"/>
      <c r="BU329" s="4"/>
      <c r="BV329" s="4"/>
      <c r="BW329" s="4"/>
      <c r="BX329" s="4"/>
      <c r="BY329" s="4"/>
      <c r="BZ329" s="4"/>
      <c r="CA329" s="4"/>
      <c r="CB329" s="4"/>
      <c r="CC329" s="4"/>
      <c r="CD329" s="4"/>
      <c r="CE329" s="4"/>
      <c r="CF329" s="4"/>
    </row>
    <row r="330" spans="1:84" x14ac:dyDescent="0.3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S330" s="4"/>
      <c r="BT330" s="4"/>
      <c r="BU330" s="4"/>
      <c r="BV330" s="4"/>
      <c r="BW330" s="4"/>
      <c r="BX330" s="4"/>
      <c r="BY330" s="4"/>
      <c r="BZ330" s="4"/>
      <c r="CA330" s="4"/>
      <c r="CB330" s="4"/>
      <c r="CC330" s="4"/>
      <c r="CD330" s="4"/>
      <c r="CE330" s="4"/>
      <c r="CF330" s="4"/>
    </row>
    <row r="331" spans="1:84" x14ac:dyDescent="0.3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S331" s="4"/>
      <c r="BT331" s="4"/>
      <c r="BU331" s="4"/>
      <c r="BV331" s="4"/>
      <c r="BW331" s="4"/>
      <c r="BX331" s="4"/>
      <c r="BY331" s="4"/>
      <c r="BZ331" s="4"/>
      <c r="CA331" s="4"/>
      <c r="CB331" s="4"/>
      <c r="CC331" s="4"/>
      <c r="CD331" s="4"/>
      <c r="CE331" s="4"/>
      <c r="CF331" s="4"/>
    </row>
    <row r="332" spans="1:84" x14ac:dyDescent="0.3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S332" s="4"/>
      <c r="BT332" s="4"/>
      <c r="BU332" s="4"/>
      <c r="BV332" s="4"/>
      <c r="BW332" s="4"/>
      <c r="BX332" s="4"/>
      <c r="BY332" s="4"/>
      <c r="BZ332" s="4"/>
      <c r="CA332" s="4"/>
      <c r="CB332" s="4"/>
      <c r="CC332" s="4"/>
      <c r="CD332" s="4"/>
      <c r="CE332" s="4"/>
      <c r="CF332" s="4"/>
    </row>
    <row r="333" spans="1:84" x14ac:dyDescent="0.3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S333" s="4"/>
      <c r="BT333" s="4"/>
      <c r="BU333" s="4"/>
      <c r="BV333" s="4"/>
      <c r="BW333" s="4"/>
      <c r="BX333" s="4"/>
      <c r="BY333" s="4"/>
      <c r="BZ333" s="4"/>
      <c r="CA333" s="4"/>
      <c r="CB333" s="4"/>
      <c r="CC333" s="4"/>
      <c r="CD333" s="4"/>
      <c r="CE333" s="4"/>
      <c r="CF333" s="4"/>
    </row>
    <row r="334" spans="1:84" x14ac:dyDescent="0.3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S334" s="4"/>
      <c r="BT334" s="4"/>
      <c r="BU334" s="4"/>
      <c r="BV334" s="4"/>
      <c r="BW334" s="4"/>
      <c r="BX334" s="4"/>
      <c r="BY334" s="4"/>
      <c r="BZ334" s="4"/>
      <c r="CA334" s="4"/>
      <c r="CB334" s="4"/>
      <c r="CC334" s="4"/>
      <c r="CD334" s="4"/>
      <c r="CE334" s="4"/>
      <c r="CF334" s="4"/>
    </row>
    <row r="335" spans="1:84" x14ac:dyDescent="0.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S335" s="4"/>
      <c r="BT335" s="4"/>
      <c r="BU335" s="4"/>
      <c r="BV335" s="4"/>
      <c r="BW335" s="4"/>
      <c r="BX335" s="4"/>
      <c r="BY335" s="4"/>
      <c r="BZ335" s="4"/>
      <c r="CA335" s="4"/>
      <c r="CB335" s="4"/>
      <c r="CC335" s="4"/>
      <c r="CD335" s="4"/>
      <c r="CE335" s="4"/>
      <c r="CF335" s="4"/>
    </row>
    <row r="336" spans="1:84" x14ac:dyDescent="0.3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S336" s="4"/>
      <c r="BT336" s="4"/>
      <c r="BU336" s="4"/>
      <c r="BV336" s="4"/>
      <c r="BW336" s="4"/>
      <c r="BX336" s="4"/>
      <c r="BY336" s="4"/>
      <c r="BZ336" s="4"/>
      <c r="CA336" s="4"/>
      <c r="CB336" s="4"/>
      <c r="CC336" s="4"/>
      <c r="CD336" s="4"/>
      <c r="CE336" s="4"/>
      <c r="CF336" s="4"/>
    </row>
    <row r="337" spans="1:84" x14ac:dyDescent="0.3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S337" s="4"/>
      <c r="BT337" s="4"/>
      <c r="BU337" s="4"/>
      <c r="BV337" s="4"/>
      <c r="BW337" s="4"/>
      <c r="BX337" s="4"/>
      <c r="BY337" s="4"/>
      <c r="BZ337" s="4"/>
      <c r="CA337" s="4"/>
      <c r="CB337" s="4"/>
      <c r="CC337" s="4"/>
      <c r="CD337" s="4"/>
      <c r="CE337" s="4"/>
      <c r="CF337" s="4"/>
    </row>
    <row r="338" spans="1:84" x14ac:dyDescent="0.3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S338" s="4"/>
      <c r="BT338" s="4"/>
      <c r="BU338" s="4"/>
      <c r="BV338" s="4"/>
      <c r="BW338" s="4"/>
      <c r="BX338" s="4"/>
      <c r="BY338" s="4"/>
      <c r="BZ338" s="4"/>
      <c r="CA338" s="4"/>
      <c r="CB338" s="4"/>
      <c r="CC338" s="4"/>
      <c r="CD338" s="4"/>
      <c r="CE338" s="4"/>
      <c r="CF338" s="4"/>
    </row>
    <row r="339" spans="1:84" x14ac:dyDescent="0.3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S339" s="4"/>
      <c r="BT339" s="4"/>
      <c r="BU339" s="4"/>
      <c r="BV339" s="4"/>
      <c r="BW339" s="4"/>
      <c r="BX339" s="4"/>
      <c r="BY339" s="4"/>
      <c r="BZ339" s="4"/>
      <c r="CA339" s="4"/>
      <c r="CB339" s="4"/>
      <c r="CC339" s="4"/>
      <c r="CD339" s="4"/>
      <c r="CE339" s="4"/>
      <c r="CF339" s="4"/>
    </row>
    <row r="340" spans="1:84" x14ac:dyDescent="0.3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S340" s="4"/>
      <c r="BT340" s="4"/>
      <c r="BU340" s="4"/>
      <c r="BV340" s="4"/>
      <c r="BW340" s="4"/>
      <c r="BX340" s="4"/>
      <c r="BY340" s="4"/>
      <c r="BZ340" s="4"/>
      <c r="CA340" s="4"/>
      <c r="CB340" s="4"/>
      <c r="CC340" s="4"/>
      <c r="CD340" s="4"/>
      <c r="CE340" s="4"/>
      <c r="CF340" s="4"/>
    </row>
    <row r="341" spans="1:84" x14ac:dyDescent="0.3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S341" s="4"/>
      <c r="BT341" s="4"/>
      <c r="BU341" s="4"/>
      <c r="BV341" s="4"/>
      <c r="BW341" s="4"/>
      <c r="BX341" s="4"/>
      <c r="BY341" s="4"/>
      <c r="BZ341" s="4"/>
      <c r="CA341" s="4"/>
      <c r="CB341" s="4"/>
      <c r="CC341" s="4"/>
      <c r="CD341" s="4"/>
      <c r="CE341" s="4"/>
      <c r="CF341" s="4"/>
    </row>
    <row r="342" spans="1:84" x14ac:dyDescent="0.3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S342" s="4"/>
      <c r="BT342" s="4"/>
      <c r="BU342" s="4"/>
      <c r="BV342" s="4"/>
      <c r="BW342" s="4"/>
      <c r="BX342" s="4"/>
      <c r="BY342" s="4"/>
      <c r="BZ342" s="4"/>
      <c r="CA342" s="4"/>
      <c r="CB342" s="4"/>
      <c r="CC342" s="4"/>
      <c r="CD342" s="4"/>
      <c r="CE342" s="4"/>
      <c r="CF342" s="4"/>
    </row>
    <row r="343" spans="1:84" x14ac:dyDescent="0.3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S343" s="4"/>
      <c r="BT343" s="4"/>
      <c r="BU343" s="4"/>
      <c r="BV343" s="4"/>
      <c r="BW343" s="4"/>
      <c r="BX343" s="4"/>
      <c r="BY343" s="4"/>
      <c r="BZ343" s="4"/>
      <c r="CA343" s="4"/>
      <c r="CB343" s="4"/>
      <c r="CC343" s="4"/>
      <c r="CD343" s="4"/>
      <c r="CE343" s="4"/>
      <c r="CF343" s="4"/>
    </row>
    <row r="344" spans="1:84" x14ac:dyDescent="0.3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S344" s="4"/>
      <c r="BT344" s="4"/>
      <c r="BU344" s="4"/>
      <c r="BV344" s="4"/>
      <c r="BW344" s="4"/>
      <c r="BX344" s="4"/>
      <c r="BY344" s="4"/>
      <c r="BZ344" s="4"/>
      <c r="CA344" s="4"/>
      <c r="CB344" s="4"/>
      <c r="CC344" s="4"/>
      <c r="CD344" s="4"/>
      <c r="CE344" s="4"/>
      <c r="CF344" s="4"/>
    </row>
    <row r="345" spans="1:84" x14ac:dyDescent="0.3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S345" s="4"/>
      <c r="BT345" s="4"/>
      <c r="BU345" s="4"/>
      <c r="BV345" s="4"/>
      <c r="BW345" s="4"/>
      <c r="BX345" s="4"/>
      <c r="BY345" s="4"/>
      <c r="BZ345" s="4"/>
      <c r="CA345" s="4"/>
      <c r="CB345" s="4"/>
      <c r="CC345" s="4"/>
      <c r="CD345" s="4"/>
      <c r="CE345" s="4"/>
      <c r="CF345" s="4"/>
    </row>
    <row r="346" spans="1:84" x14ac:dyDescent="0.3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S346" s="4"/>
      <c r="BT346" s="4"/>
      <c r="BU346" s="4"/>
      <c r="BV346" s="4"/>
      <c r="BW346" s="4"/>
      <c r="BX346" s="4"/>
      <c r="BY346" s="4"/>
      <c r="BZ346" s="4"/>
      <c r="CA346" s="4"/>
      <c r="CB346" s="4"/>
      <c r="CC346" s="4"/>
      <c r="CD346" s="4"/>
      <c r="CE346" s="4"/>
      <c r="CF346" s="4"/>
    </row>
    <row r="347" spans="1:84" x14ac:dyDescent="0.3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S347" s="4"/>
      <c r="BT347" s="4"/>
      <c r="BU347" s="4"/>
      <c r="BV347" s="4"/>
      <c r="BW347" s="4"/>
      <c r="BX347" s="4"/>
      <c r="BY347" s="4"/>
      <c r="BZ347" s="4"/>
      <c r="CA347" s="4"/>
      <c r="CB347" s="4"/>
      <c r="CC347" s="4"/>
      <c r="CD347" s="4"/>
      <c r="CE347" s="4"/>
      <c r="CF347" s="4"/>
    </row>
    <row r="348" spans="1:84" x14ac:dyDescent="0.3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S348" s="4"/>
      <c r="BT348" s="4"/>
      <c r="BU348" s="4"/>
      <c r="BV348" s="4"/>
      <c r="BW348" s="4"/>
      <c r="BX348" s="4"/>
      <c r="BY348" s="4"/>
      <c r="BZ348" s="4"/>
      <c r="CA348" s="4"/>
      <c r="CB348" s="4"/>
      <c r="CC348" s="4"/>
      <c r="CD348" s="4"/>
      <c r="CE348" s="4"/>
      <c r="CF348" s="4"/>
    </row>
    <row r="349" spans="1:84" x14ac:dyDescent="0.3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S349" s="4"/>
      <c r="BT349" s="4"/>
      <c r="BU349" s="4"/>
      <c r="BV349" s="4"/>
      <c r="BW349" s="4"/>
      <c r="BX349" s="4"/>
      <c r="BY349" s="4"/>
      <c r="BZ349" s="4"/>
      <c r="CA349" s="4"/>
      <c r="CB349" s="4"/>
      <c r="CC349" s="4"/>
      <c r="CD349" s="4"/>
      <c r="CE349" s="4"/>
      <c r="CF349" s="4"/>
    </row>
    <row r="350" spans="1:84" x14ac:dyDescent="0.3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S350" s="4"/>
      <c r="BT350" s="4"/>
      <c r="BU350" s="4"/>
      <c r="BV350" s="4"/>
      <c r="BW350" s="4"/>
      <c r="BX350" s="4"/>
      <c r="BY350" s="4"/>
      <c r="BZ350" s="4"/>
      <c r="CA350" s="4"/>
      <c r="CB350" s="4"/>
      <c r="CC350" s="4"/>
      <c r="CD350" s="4"/>
      <c r="CE350" s="4"/>
      <c r="CF350" s="4"/>
    </row>
    <row r="351" spans="1:84" x14ac:dyDescent="0.3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S351" s="4"/>
      <c r="BT351" s="4"/>
      <c r="BU351" s="4"/>
      <c r="BV351" s="4"/>
      <c r="BW351" s="4"/>
      <c r="BX351" s="4"/>
      <c r="BY351" s="4"/>
      <c r="BZ351" s="4"/>
      <c r="CA351" s="4"/>
      <c r="CB351" s="4"/>
      <c r="CC351" s="4"/>
      <c r="CD351" s="4"/>
      <c r="CE351" s="4"/>
      <c r="CF351" s="4"/>
    </row>
    <row r="352" spans="1:84" x14ac:dyDescent="0.3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S352" s="4"/>
      <c r="BT352" s="4"/>
      <c r="BU352" s="4"/>
      <c r="BV352" s="4"/>
      <c r="BW352" s="4"/>
      <c r="BX352" s="4"/>
      <c r="BY352" s="4"/>
      <c r="BZ352" s="4"/>
      <c r="CA352" s="4"/>
      <c r="CB352" s="4"/>
      <c r="CC352" s="4"/>
      <c r="CD352" s="4"/>
      <c r="CE352" s="4"/>
      <c r="CF352" s="4"/>
    </row>
    <row r="353" spans="1:84" x14ac:dyDescent="0.3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S353" s="4"/>
      <c r="BT353" s="4"/>
      <c r="BU353" s="4"/>
      <c r="BV353" s="4"/>
      <c r="BW353" s="4"/>
      <c r="BX353" s="4"/>
      <c r="BY353" s="4"/>
      <c r="BZ353" s="4"/>
      <c r="CA353" s="4"/>
      <c r="CB353" s="4"/>
      <c r="CC353" s="4"/>
      <c r="CD353" s="4"/>
      <c r="CE353" s="4"/>
      <c r="CF353" s="4"/>
    </row>
    <row r="354" spans="1:84" x14ac:dyDescent="0.3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S354" s="4"/>
      <c r="BT354" s="4"/>
      <c r="BU354" s="4"/>
      <c r="BV354" s="4"/>
      <c r="BW354" s="4"/>
      <c r="BX354" s="4"/>
      <c r="BY354" s="4"/>
      <c r="BZ354" s="4"/>
      <c r="CA354" s="4"/>
      <c r="CB354" s="4"/>
      <c r="CC354" s="4"/>
      <c r="CD354" s="4"/>
      <c r="CE354" s="4"/>
      <c r="CF354" s="4"/>
    </row>
    <row r="355" spans="1:84" x14ac:dyDescent="0.3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S355" s="4"/>
      <c r="BT355" s="4"/>
      <c r="BU355" s="4"/>
      <c r="BV355" s="4"/>
      <c r="BW355" s="4"/>
      <c r="BX355" s="4"/>
      <c r="BY355" s="4"/>
      <c r="BZ355" s="4"/>
      <c r="CA355" s="4"/>
      <c r="CB355" s="4"/>
      <c r="CC355" s="4"/>
      <c r="CD355" s="4"/>
      <c r="CE355" s="4"/>
      <c r="CF355" s="4"/>
    </row>
    <row r="356" spans="1:84" x14ac:dyDescent="0.3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S356" s="4"/>
      <c r="BT356" s="4"/>
      <c r="BU356" s="4"/>
      <c r="BV356" s="4"/>
      <c r="BW356" s="4"/>
      <c r="BX356" s="4"/>
      <c r="BY356" s="4"/>
      <c r="BZ356" s="4"/>
      <c r="CA356" s="4"/>
      <c r="CB356" s="4"/>
      <c r="CC356" s="4"/>
      <c r="CD356" s="4"/>
      <c r="CE356" s="4"/>
      <c r="CF356" s="4"/>
    </row>
    <row r="357" spans="1:84" x14ac:dyDescent="0.3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S357" s="4"/>
      <c r="BT357" s="4"/>
      <c r="BU357" s="4"/>
      <c r="BV357" s="4"/>
      <c r="BW357" s="4"/>
      <c r="BX357" s="4"/>
      <c r="BY357" s="4"/>
      <c r="BZ357" s="4"/>
      <c r="CA357" s="4"/>
      <c r="CB357" s="4"/>
      <c r="CC357" s="4"/>
      <c r="CD357" s="4"/>
      <c r="CE357" s="4"/>
      <c r="CF357" s="4"/>
    </row>
    <row r="358" spans="1:84" x14ac:dyDescent="0.3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S358" s="4"/>
      <c r="BT358" s="4"/>
      <c r="BU358" s="4"/>
      <c r="BV358" s="4"/>
      <c r="BW358" s="4"/>
      <c r="BX358" s="4"/>
      <c r="BY358" s="4"/>
      <c r="BZ358" s="4"/>
      <c r="CA358" s="4"/>
      <c r="CB358" s="4"/>
      <c r="CC358" s="4"/>
      <c r="CD358" s="4"/>
      <c r="CE358" s="4"/>
      <c r="CF358" s="4"/>
    </row>
    <row r="359" spans="1:84" x14ac:dyDescent="0.3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S359" s="4"/>
      <c r="BT359" s="4"/>
      <c r="BU359" s="4"/>
      <c r="BV359" s="4"/>
      <c r="BW359" s="4"/>
      <c r="BX359" s="4"/>
      <c r="BY359" s="4"/>
      <c r="BZ359" s="4"/>
      <c r="CA359" s="4"/>
      <c r="CB359" s="4"/>
      <c r="CC359" s="4"/>
      <c r="CD359" s="4"/>
      <c r="CE359" s="4"/>
      <c r="CF359" s="4"/>
    </row>
    <row r="360" spans="1:84" x14ac:dyDescent="0.3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S360" s="4"/>
      <c r="BT360" s="4"/>
      <c r="BU360" s="4"/>
      <c r="BV360" s="4"/>
      <c r="BW360" s="4"/>
      <c r="BX360" s="4"/>
      <c r="BY360" s="4"/>
      <c r="BZ360" s="4"/>
      <c r="CA360" s="4"/>
      <c r="CB360" s="4"/>
      <c r="CC360" s="4"/>
      <c r="CD360" s="4"/>
      <c r="CE360" s="4"/>
      <c r="CF360" s="4"/>
    </row>
    <row r="361" spans="1:84" x14ac:dyDescent="0.3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S361" s="4"/>
      <c r="BT361" s="4"/>
      <c r="BU361" s="4"/>
      <c r="BV361" s="4"/>
      <c r="BW361" s="4"/>
      <c r="BX361" s="4"/>
      <c r="BY361" s="4"/>
      <c r="BZ361" s="4"/>
      <c r="CA361" s="4"/>
      <c r="CB361" s="4"/>
      <c r="CC361" s="4"/>
      <c r="CD361" s="4"/>
      <c r="CE361" s="4"/>
      <c r="CF361" s="4"/>
    </row>
    <row r="362" spans="1:84" x14ac:dyDescent="0.3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S362" s="4"/>
      <c r="BT362" s="4"/>
      <c r="BU362" s="4"/>
      <c r="BV362" s="4"/>
      <c r="BW362" s="4"/>
      <c r="BX362" s="4"/>
      <c r="BY362" s="4"/>
      <c r="BZ362" s="4"/>
      <c r="CA362" s="4"/>
      <c r="CB362" s="4"/>
      <c r="CC362" s="4"/>
      <c r="CD362" s="4"/>
      <c r="CE362" s="4"/>
      <c r="CF362" s="4"/>
    </row>
    <row r="363" spans="1:84" x14ac:dyDescent="0.3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S363" s="4"/>
      <c r="BT363" s="4"/>
      <c r="BU363" s="4"/>
      <c r="BV363" s="4"/>
      <c r="BW363" s="4"/>
      <c r="BX363" s="4"/>
      <c r="BY363" s="4"/>
      <c r="BZ363" s="4"/>
      <c r="CA363" s="4"/>
      <c r="CB363" s="4"/>
      <c r="CC363" s="4"/>
      <c r="CD363" s="4"/>
      <c r="CE363" s="4"/>
      <c r="CF363" s="4"/>
    </row>
    <row r="364" spans="1:84" x14ac:dyDescent="0.3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S364" s="4"/>
      <c r="BT364" s="4"/>
      <c r="BU364" s="4"/>
      <c r="BV364" s="4"/>
      <c r="BW364" s="4"/>
      <c r="BX364" s="4"/>
      <c r="BY364" s="4"/>
      <c r="BZ364" s="4"/>
      <c r="CA364" s="4"/>
      <c r="CB364" s="4"/>
      <c r="CC364" s="4"/>
      <c r="CD364" s="4"/>
      <c r="CE364" s="4"/>
      <c r="CF364" s="4"/>
    </row>
    <row r="365" spans="1:84" x14ac:dyDescent="0.3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S365" s="4"/>
      <c r="BT365" s="4"/>
      <c r="BU365" s="4"/>
      <c r="BV365" s="4"/>
      <c r="BW365" s="4"/>
      <c r="BX365" s="4"/>
      <c r="BY365" s="4"/>
      <c r="BZ365" s="4"/>
      <c r="CA365" s="4"/>
      <c r="CB365" s="4"/>
      <c r="CC365" s="4"/>
      <c r="CD365" s="4"/>
      <c r="CE365" s="4"/>
      <c r="CF365" s="4"/>
    </row>
    <row r="366" spans="1:84" x14ac:dyDescent="0.3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S366" s="4"/>
      <c r="BT366" s="4"/>
      <c r="BU366" s="4"/>
      <c r="BV366" s="4"/>
      <c r="BW366" s="4"/>
      <c r="BX366" s="4"/>
      <c r="BY366" s="4"/>
      <c r="BZ366" s="4"/>
      <c r="CA366" s="4"/>
      <c r="CB366" s="4"/>
      <c r="CC366" s="4"/>
      <c r="CD366" s="4"/>
      <c r="CE366" s="4"/>
      <c r="CF366" s="4"/>
    </row>
    <row r="367" spans="1:84" x14ac:dyDescent="0.3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S367" s="4"/>
      <c r="BT367" s="4"/>
      <c r="BU367" s="4"/>
      <c r="BV367" s="4"/>
      <c r="BW367" s="4"/>
      <c r="BX367" s="4"/>
      <c r="BY367" s="4"/>
      <c r="BZ367" s="4"/>
      <c r="CA367" s="4"/>
      <c r="CB367" s="4"/>
      <c r="CC367" s="4"/>
      <c r="CD367" s="4"/>
      <c r="CE367" s="4"/>
      <c r="CF367" s="4"/>
    </row>
    <row r="368" spans="1:84" x14ac:dyDescent="0.3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S368" s="4"/>
      <c r="BT368" s="4"/>
      <c r="BU368" s="4"/>
      <c r="BV368" s="4"/>
      <c r="BW368" s="4"/>
      <c r="BX368" s="4"/>
      <c r="BY368" s="4"/>
      <c r="BZ368" s="4"/>
      <c r="CA368" s="4"/>
      <c r="CB368" s="4"/>
      <c r="CC368" s="4"/>
      <c r="CD368" s="4"/>
      <c r="CE368" s="4"/>
      <c r="CF368" s="4"/>
    </row>
    <row r="369" spans="1:84" x14ac:dyDescent="0.3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S369" s="4"/>
      <c r="BT369" s="4"/>
      <c r="BU369" s="4"/>
      <c r="BV369" s="4"/>
      <c r="BW369" s="4"/>
      <c r="BX369" s="4"/>
      <c r="BY369" s="4"/>
      <c r="BZ369" s="4"/>
      <c r="CA369" s="4"/>
      <c r="CB369" s="4"/>
      <c r="CC369" s="4"/>
      <c r="CD369" s="4"/>
      <c r="CE369" s="4"/>
      <c r="CF369" s="4"/>
    </row>
    <row r="370" spans="1:84" x14ac:dyDescent="0.3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S370" s="4"/>
      <c r="BT370" s="4"/>
      <c r="BU370" s="4"/>
      <c r="BV370" s="4"/>
      <c r="BW370" s="4"/>
      <c r="BX370" s="4"/>
      <c r="BY370" s="4"/>
      <c r="BZ370" s="4"/>
      <c r="CA370" s="4"/>
      <c r="CB370" s="4"/>
      <c r="CC370" s="4"/>
      <c r="CD370" s="4"/>
      <c r="CE370" s="4"/>
      <c r="CF370" s="4"/>
    </row>
    <row r="371" spans="1:84" x14ac:dyDescent="0.3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S371" s="4"/>
      <c r="BT371" s="4"/>
      <c r="BU371" s="4"/>
      <c r="BV371" s="4"/>
      <c r="BW371" s="4"/>
      <c r="BX371" s="4"/>
      <c r="BY371" s="4"/>
      <c r="BZ371" s="4"/>
      <c r="CA371" s="4"/>
      <c r="CB371" s="4"/>
      <c r="CC371" s="4"/>
      <c r="CD371" s="4"/>
      <c r="CE371" s="4"/>
      <c r="CF371" s="4"/>
    </row>
    <row r="372" spans="1:84" x14ac:dyDescent="0.3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S372" s="4"/>
      <c r="BT372" s="4"/>
      <c r="BU372" s="4"/>
      <c r="BV372" s="4"/>
      <c r="BW372" s="4"/>
      <c r="BX372" s="4"/>
      <c r="BY372" s="4"/>
      <c r="BZ372" s="4"/>
      <c r="CA372" s="4"/>
      <c r="CB372" s="4"/>
      <c r="CC372" s="4"/>
      <c r="CD372" s="4"/>
      <c r="CE372" s="4"/>
      <c r="CF372" s="4"/>
    </row>
    <row r="373" spans="1:84" x14ac:dyDescent="0.3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S373" s="4"/>
      <c r="BT373" s="4"/>
      <c r="BU373" s="4"/>
      <c r="BV373" s="4"/>
      <c r="BW373" s="4"/>
      <c r="BX373" s="4"/>
      <c r="BY373" s="4"/>
      <c r="BZ373" s="4"/>
      <c r="CA373" s="4"/>
      <c r="CB373" s="4"/>
      <c r="CC373" s="4"/>
      <c r="CD373" s="4"/>
      <c r="CE373" s="4"/>
      <c r="CF373" s="4"/>
    </row>
    <row r="374" spans="1:84" x14ac:dyDescent="0.3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S374" s="4"/>
      <c r="BT374" s="4"/>
      <c r="BU374" s="4"/>
      <c r="BV374" s="4"/>
      <c r="BW374" s="4"/>
      <c r="BX374" s="4"/>
      <c r="BY374" s="4"/>
      <c r="BZ374" s="4"/>
      <c r="CA374" s="4"/>
      <c r="CB374" s="4"/>
      <c r="CC374" s="4"/>
      <c r="CD374" s="4"/>
      <c r="CE374" s="4"/>
      <c r="CF374" s="4"/>
    </row>
    <row r="375" spans="1:84" x14ac:dyDescent="0.3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S375" s="4"/>
      <c r="BT375" s="4"/>
      <c r="BU375" s="4"/>
      <c r="BV375" s="4"/>
      <c r="BW375" s="4"/>
      <c r="BX375" s="4"/>
      <c r="BY375" s="4"/>
      <c r="BZ375" s="4"/>
      <c r="CA375" s="4"/>
      <c r="CB375" s="4"/>
      <c r="CC375" s="4"/>
      <c r="CD375" s="4"/>
      <c r="CE375" s="4"/>
      <c r="CF375" s="4"/>
    </row>
    <row r="376" spans="1:84" x14ac:dyDescent="0.3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S376" s="4"/>
      <c r="BT376" s="4"/>
      <c r="BU376" s="4"/>
      <c r="BV376" s="4"/>
      <c r="BW376" s="4"/>
      <c r="BX376" s="4"/>
      <c r="BY376" s="4"/>
      <c r="BZ376" s="4"/>
      <c r="CA376" s="4"/>
      <c r="CB376" s="4"/>
      <c r="CC376" s="4"/>
      <c r="CD376" s="4"/>
      <c r="CE376" s="4"/>
      <c r="CF376" s="4"/>
    </row>
    <row r="377" spans="1:84" x14ac:dyDescent="0.3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S377" s="4"/>
      <c r="BT377" s="4"/>
      <c r="BU377" s="4"/>
      <c r="BV377" s="4"/>
      <c r="BW377" s="4"/>
      <c r="BX377" s="4"/>
      <c r="BY377" s="4"/>
      <c r="BZ377" s="4"/>
      <c r="CA377" s="4"/>
      <c r="CB377" s="4"/>
      <c r="CC377" s="4"/>
      <c r="CD377" s="4"/>
      <c r="CE377" s="4"/>
      <c r="CF377" s="4"/>
    </row>
    <row r="378" spans="1:84" x14ac:dyDescent="0.3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S378" s="4"/>
      <c r="BT378" s="4"/>
      <c r="BU378" s="4"/>
      <c r="BV378" s="4"/>
      <c r="BW378" s="4"/>
      <c r="BX378" s="4"/>
      <c r="BY378" s="4"/>
      <c r="BZ378" s="4"/>
      <c r="CA378" s="4"/>
      <c r="CB378" s="4"/>
      <c r="CC378" s="4"/>
      <c r="CD378" s="4"/>
      <c r="CE378" s="4"/>
      <c r="CF378" s="4"/>
    </row>
    <row r="379" spans="1:84" x14ac:dyDescent="0.3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S379" s="4"/>
      <c r="BT379" s="4"/>
      <c r="BU379" s="4"/>
      <c r="BV379" s="4"/>
      <c r="BW379" s="4"/>
      <c r="BX379" s="4"/>
      <c r="BY379" s="4"/>
      <c r="BZ379" s="4"/>
      <c r="CA379" s="4"/>
      <c r="CB379" s="4"/>
      <c r="CC379" s="4"/>
      <c r="CD379" s="4"/>
      <c r="CE379" s="4"/>
      <c r="CF379" s="4"/>
    </row>
    <row r="380" spans="1:84" x14ac:dyDescent="0.3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S380" s="4"/>
      <c r="BT380" s="4"/>
      <c r="BU380" s="4"/>
      <c r="BV380" s="4"/>
      <c r="BW380" s="4"/>
      <c r="BX380" s="4"/>
      <c r="BY380" s="4"/>
      <c r="BZ380" s="4"/>
      <c r="CA380" s="4"/>
      <c r="CB380" s="4"/>
      <c r="CC380" s="4"/>
      <c r="CD380" s="4"/>
      <c r="CE380" s="4"/>
      <c r="CF380" s="4"/>
    </row>
    <row r="381" spans="1:84" x14ac:dyDescent="0.3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S381" s="4"/>
      <c r="BT381" s="4"/>
      <c r="BU381" s="4"/>
      <c r="BV381" s="4"/>
      <c r="BW381" s="4"/>
      <c r="BX381" s="4"/>
      <c r="BY381" s="4"/>
      <c r="BZ381" s="4"/>
      <c r="CA381" s="4"/>
      <c r="CB381" s="4"/>
      <c r="CC381" s="4"/>
      <c r="CD381" s="4"/>
      <c r="CE381" s="4"/>
      <c r="CF381" s="4"/>
    </row>
    <row r="382" spans="1:84" x14ac:dyDescent="0.3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S382" s="4"/>
      <c r="BT382" s="4"/>
      <c r="BU382" s="4"/>
      <c r="BV382" s="4"/>
      <c r="BW382" s="4"/>
      <c r="BX382" s="4"/>
      <c r="BY382" s="4"/>
      <c r="BZ382" s="4"/>
      <c r="CA382" s="4"/>
      <c r="CB382" s="4"/>
      <c r="CC382" s="4"/>
      <c r="CD382" s="4"/>
      <c r="CE382" s="4"/>
      <c r="CF382" s="4"/>
    </row>
    <row r="383" spans="1:84" x14ac:dyDescent="0.3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S383" s="4"/>
      <c r="BT383" s="4"/>
      <c r="BU383" s="4"/>
      <c r="BV383" s="4"/>
      <c r="BW383" s="4"/>
      <c r="BX383" s="4"/>
      <c r="BY383" s="4"/>
      <c r="BZ383" s="4"/>
      <c r="CA383" s="4"/>
      <c r="CB383" s="4"/>
      <c r="CC383" s="4"/>
      <c r="CD383" s="4"/>
      <c r="CE383" s="4"/>
      <c r="CF383" s="4"/>
    </row>
    <row r="384" spans="1:84" x14ac:dyDescent="0.3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S384" s="4"/>
      <c r="BT384" s="4"/>
      <c r="BU384" s="4"/>
      <c r="BV384" s="4"/>
      <c r="BW384" s="4"/>
      <c r="BX384" s="4"/>
      <c r="BY384" s="4"/>
      <c r="BZ384" s="4"/>
      <c r="CA384" s="4"/>
      <c r="CB384" s="4"/>
      <c r="CC384" s="4"/>
      <c r="CD384" s="4"/>
      <c r="CE384" s="4"/>
      <c r="CF384" s="4"/>
    </row>
    <row r="385" spans="1:84" x14ac:dyDescent="0.3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S385" s="4"/>
      <c r="BT385" s="4"/>
      <c r="BU385" s="4"/>
      <c r="BV385" s="4"/>
      <c r="BW385" s="4"/>
      <c r="BX385" s="4"/>
      <c r="BY385" s="4"/>
      <c r="BZ385" s="4"/>
      <c r="CA385" s="4"/>
      <c r="CB385" s="4"/>
      <c r="CC385" s="4"/>
      <c r="CD385" s="4"/>
      <c r="CE385" s="4"/>
      <c r="CF385" s="4"/>
    </row>
    <row r="386" spans="1:84" x14ac:dyDescent="0.3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S386" s="4"/>
      <c r="BT386" s="4"/>
      <c r="BU386" s="4"/>
      <c r="BV386" s="4"/>
      <c r="BW386" s="4"/>
      <c r="BX386" s="4"/>
      <c r="BY386" s="4"/>
      <c r="BZ386" s="4"/>
      <c r="CA386" s="4"/>
      <c r="CB386" s="4"/>
      <c r="CC386" s="4"/>
      <c r="CD386" s="4"/>
      <c r="CE386" s="4"/>
      <c r="CF386" s="4"/>
    </row>
    <row r="387" spans="1:84" x14ac:dyDescent="0.3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S387" s="4"/>
      <c r="BT387" s="4"/>
      <c r="BU387" s="4"/>
      <c r="BV387" s="4"/>
      <c r="BW387" s="4"/>
      <c r="BX387" s="4"/>
      <c r="BY387" s="4"/>
      <c r="BZ387" s="4"/>
      <c r="CA387" s="4"/>
      <c r="CB387" s="4"/>
      <c r="CC387" s="4"/>
      <c r="CD387" s="4"/>
      <c r="CE387" s="4"/>
      <c r="CF387" s="4"/>
    </row>
    <row r="388" spans="1:84" x14ac:dyDescent="0.3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S388" s="4"/>
      <c r="BT388" s="4"/>
      <c r="BU388" s="4"/>
      <c r="BV388" s="4"/>
      <c r="BW388" s="4"/>
      <c r="BX388" s="4"/>
      <c r="BY388" s="4"/>
      <c r="BZ388" s="4"/>
      <c r="CA388" s="4"/>
      <c r="CB388" s="4"/>
      <c r="CC388" s="4"/>
      <c r="CD388" s="4"/>
      <c r="CE388" s="4"/>
      <c r="CF388" s="4"/>
    </row>
    <row r="389" spans="1:84" x14ac:dyDescent="0.3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S389" s="4"/>
      <c r="BT389" s="4"/>
      <c r="BU389" s="4"/>
      <c r="BV389" s="4"/>
      <c r="BW389" s="4"/>
      <c r="BX389" s="4"/>
      <c r="BY389" s="4"/>
      <c r="BZ389" s="4"/>
      <c r="CA389" s="4"/>
      <c r="CB389" s="4"/>
      <c r="CC389" s="4"/>
      <c r="CD389" s="4"/>
      <c r="CE389" s="4"/>
      <c r="CF389" s="4"/>
    </row>
    <row r="390" spans="1:84" x14ac:dyDescent="0.3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S390" s="4"/>
      <c r="BT390" s="4"/>
      <c r="BU390" s="4"/>
      <c r="BV390" s="4"/>
      <c r="BW390" s="4"/>
      <c r="BX390" s="4"/>
      <c r="BY390" s="4"/>
      <c r="BZ390" s="4"/>
      <c r="CA390" s="4"/>
      <c r="CB390" s="4"/>
      <c r="CC390" s="4"/>
      <c r="CD390" s="4"/>
      <c r="CE390" s="4"/>
      <c r="CF390" s="4"/>
    </row>
    <row r="391" spans="1:84" x14ac:dyDescent="0.3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S391" s="4"/>
      <c r="BT391" s="4"/>
      <c r="BU391" s="4"/>
      <c r="BV391" s="4"/>
      <c r="BW391" s="4"/>
      <c r="BX391" s="4"/>
      <c r="BY391" s="4"/>
      <c r="BZ391" s="4"/>
      <c r="CA391" s="4"/>
      <c r="CB391" s="4"/>
      <c r="CC391" s="4"/>
      <c r="CD391" s="4"/>
      <c r="CE391" s="4"/>
      <c r="CF391" s="4"/>
    </row>
    <row r="392" spans="1:84" x14ac:dyDescent="0.3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S392" s="4"/>
      <c r="BT392" s="4"/>
      <c r="BU392" s="4"/>
      <c r="BV392" s="4"/>
      <c r="BW392" s="4"/>
      <c r="BX392" s="4"/>
      <c r="BY392" s="4"/>
      <c r="BZ392" s="4"/>
      <c r="CA392" s="4"/>
      <c r="CB392" s="4"/>
      <c r="CC392" s="4"/>
      <c r="CD392" s="4"/>
      <c r="CE392" s="4"/>
      <c r="CF392" s="4"/>
    </row>
    <row r="393" spans="1:84" x14ac:dyDescent="0.3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S393" s="4"/>
      <c r="BT393" s="4"/>
      <c r="BU393" s="4"/>
      <c r="BV393" s="4"/>
      <c r="BW393" s="4"/>
      <c r="BX393" s="4"/>
      <c r="BY393" s="4"/>
      <c r="BZ393" s="4"/>
      <c r="CA393" s="4"/>
      <c r="CB393" s="4"/>
      <c r="CC393" s="4"/>
      <c r="CD393" s="4"/>
      <c r="CE393" s="4"/>
      <c r="CF393" s="4"/>
    </row>
    <row r="394" spans="1:84" x14ac:dyDescent="0.3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S394" s="4"/>
      <c r="BT394" s="4"/>
      <c r="BU394" s="4"/>
      <c r="BV394" s="4"/>
      <c r="BW394" s="4"/>
      <c r="BX394" s="4"/>
      <c r="BY394" s="4"/>
      <c r="BZ394" s="4"/>
      <c r="CA394" s="4"/>
      <c r="CB394" s="4"/>
      <c r="CC394" s="4"/>
      <c r="CD394" s="4"/>
      <c r="CE394" s="4"/>
      <c r="CF394" s="4"/>
    </row>
    <row r="395" spans="1:84" x14ac:dyDescent="0.3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S395" s="4"/>
      <c r="BT395" s="4"/>
      <c r="BU395" s="4"/>
      <c r="BV395" s="4"/>
      <c r="BW395" s="4"/>
      <c r="BX395" s="4"/>
      <c r="BY395" s="4"/>
      <c r="BZ395" s="4"/>
      <c r="CA395" s="4"/>
      <c r="CB395" s="4"/>
      <c r="CC395" s="4"/>
      <c r="CD395" s="4"/>
      <c r="CE395" s="4"/>
      <c r="CF395" s="4"/>
    </row>
    <row r="396" spans="1:84" x14ac:dyDescent="0.3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S396" s="4"/>
      <c r="BT396" s="4"/>
      <c r="BU396" s="4"/>
      <c r="BV396" s="4"/>
      <c r="BW396" s="4"/>
      <c r="BX396" s="4"/>
      <c r="BY396" s="4"/>
      <c r="BZ396" s="4"/>
      <c r="CA396" s="4"/>
      <c r="CB396" s="4"/>
      <c r="CC396" s="4"/>
      <c r="CD396" s="4"/>
      <c r="CE396" s="4"/>
      <c r="CF396" s="4"/>
    </row>
    <row r="397" spans="1:84" x14ac:dyDescent="0.3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S397" s="4"/>
      <c r="BT397" s="4"/>
      <c r="BU397" s="4"/>
      <c r="BV397" s="4"/>
      <c r="BW397" s="4"/>
      <c r="BX397" s="4"/>
      <c r="BY397" s="4"/>
      <c r="BZ397" s="4"/>
      <c r="CA397" s="4"/>
      <c r="CB397" s="4"/>
      <c r="CC397" s="4"/>
      <c r="CD397" s="4"/>
      <c r="CE397" s="4"/>
      <c r="CF397" s="4"/>
    </row>
    <row r="398" spans="1:84" x14ac:dyDescent="0.3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S398" s="4"/>
      <c r="BT398" s="4"/>
      <c r="BU398" s="4"/>
      <c r="BV398" s="4"/>
      <c r="BW398" s="4"/>
      <c r="BX398" s="4"/>
      <c r="BY398" s="4"/>
      <c r="BZ398" s="4"/>
      <c r="CA398" s="4"/>
      <c r="CB398" s="4"/>
      <c r="CC398" s="4"/>
      <c r="CD398" s="4"/>
      <c r="CE398" s="4"/>
      <c r="CF398" s="4"/>
    </row>
    <row r="399" spans="1:84" x14ac:dyDescent="0.3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S399" s="4"/>
      <c r="BT399" s="4"/>
      <c r="BU399" s="4"/>
      <c r="BV399" s="4"/>
      <c r="BW399" s="4"/>
      <c r="BX399" s="4"/>
      <c r="BY399" s="4"/>
      <c r="BZ399" s="4"/>
      <c r="CA399" s="4"/>
      <c r="CB399" s="4"/>
      <c r="CC399" s="4"/>
      <c r="CD399" s="4"/>
      <c r="CE399" s="4"/>
      <c r="CF399" s="4"/>
    </row>
    <row r="400" spans="1:84" x14ac:dyDescent="0.3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S400" s="4"/>
      <c r="BT400" s="4"/>
      <c r="BU400" s="4"/>
      <c r="BV400" s="4"/>
      <c r="BW400" s="4"/>
      <c r="BX400" s="4"/>
      <c r="BY400" s="4"/>
      <c r="BZ400" s="4"/>
      <c r="CA400" s="4"/>
      <c r="CB400" s="4"/>
      <c r="CC400" s="4"/>
      <c r="CD400" s="4"/>
      <c r="CE400" s="4"/>
      <c r="CF400" s="4"/>
    </row>
    <row r="401" spans="1:84" x14ac:dyDescent="0.3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S401" s="4"/>
      <c r="BT401" s="4"/>
      <c r="BU401" s="4"/>
      <c r="BV401" s="4"/>
      <c r="BW401" s="4"/>
      <c r="BX401" s="4"/>
      <c r="BY401" s="4"/>
      <c r="BZ401" s="4"/>
      <c r="CA401" s="4"/>
      <c r="CB401" s="4"/>
      <c r="CC401" s="4"/>
      <c r="CD401" s="4"/>
      <c r="CE401" s="4"/>
      <c r="CF401" s="4"/>
    </row>
    <row r="402" spans="1:84" x14ac:dyDescent="0.3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S402" s="4"/>
      <c r="BT402" s="4"/>
      <c r="BU402" s="4"/>
      <c r="BV402" s="4"/>
      <c r="BW402" s="4"/>
      <c r="BX402" s="4"/>
      <c r="BY402" s="4"/>
      <c r="BZ402" s="4"/>
      <c r="CA402" s="4"/>
      <c r="CB402" s="4"/>
      <c r="CC402" s="4"/>
      <c r="CD402" s="4"/>
      <c r="CE402" s="4"/>
      <c r="CF402" s="4"/>
    </row>
    <row r="403" spans="1:84" x14ac:dyDescent="0.3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S403" s="4"/>
      <c r="BT403" s="4"/>
      <c r="BU403" s="4"/>
      <c r="BV403" s="4"/>
      <c r="BW403" s="4"/>
      <c r="BX403" s="4"/>
      <c r="BY403" s="4"/>
      <c r="BZ403" s="4"/>
      <c r="CA403" s="4"/>
      <c r="CB403" s="4"/>
      <c r="CC403" s="4"/>
      <c r="CD403" s="4"/>
      <c r="CE403" s="4"/>
      <c r="CF403" s="4"/>
    </row>
    <row r="404" spans="1:84" x14ac:dyDescent="0.3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S404" s="4"/>
      <c r="BT404" s="4"/>
      <c r="BU404" s="4"/>
      <c r="BV404" s="4"/>
      <c r="BW404" s="4"/>
      <c r="BX404" s="4"/>
      <c r="BY404" s="4"/>
      <c r="BZ404" s="4"/>
      <c r="CA404" s="4"/>
      <c r="CB404" s="4"/>
      <c r="CC404" s="4"/>
      <c r="CD404" s="4"/>
      <c r="CE404" s="4"/>
      <c r="CF404" s="4"/>
    </row>
    <row r="405" spans="1:84" x14ac:dyDescent="0.3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S405" s="4"/>
      <c r="BT405" s="4"/>
      <c r="BU405" s="4"/>
      <c r="BV405" s="4"/>
      <c r="BW405" s="4"/>
      <c r="BX405" s="4"/>
      <c r="BY405" s="4"/>
      <c r="BZ405" s="4"/>
      <c r="CA405" s="4"/>
      <c r="CB405" s="4"/>
      <c r="CC405" s="4"/>
      <c r="CD405" s="4"/>
      <c r="CE405" s="4"/>
      <c r="CF405" s="4"/>
    </row>
    <row r="406" spans="1:84" x14ac:dyDescent="0.3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S406" s="4"/>
      <c r="BT406" s="4"/>
      <c r="BU406" s="4"/>
      <c r="BV406" s="4"/>
      <c r="BW406" s="4"/>
      <c r="BX406" s="4"/>
      <c r="BY406" s="4"/>
      <c r="BZ406" s="4"/>
      <c r="CA406" s="4"/>
      <c r="CB406" s="4"/>
      <c r="CC406" s="4"/>
      <c r="CD406" s="4"/>
      <c r="CE406" s="4"/>
      <c r="CF406" s="4"/>
    </row>
    <row r="407" spans="1:84" x14ac:dyDescent="0.3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S407" s="4"/>
      <c r="BT407" s="4"/>
      <c r="BU407" s="4"/>
      <c r="BV407" s="4"/>
      <c r="BW407" s="4"/>
      <c r="BX407" s="4"/>
      <c r="BY407" s="4"/>
      <c r="BZ407" s="4"/>
      <c r="CA407" s="4"/>
      <c r="CB407" s="4"/>
      <c r="CC407" s="4"/>
      <c r="CD407" s="4"/>
      <c r="CE407" s="4"/>
      <c r="CF407" s="4"/>
    </row>
    <row r="408" spans="1:84" x14ac:dyDescent="0.3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S408" s="4"/>
      <c r="BT408" s="4"/>
      <c r="BU408" s="4"/>
      <c r="BV408" s="4"/>
      <c r="BW408" s="4"/>
      <c r="BX408" s="4"/>
      <c r="BY408" s="4"/>
      <c r="BZ408" s="4"/>
      <c r="CA408" s="4"/>
      <c r="CB408" s="4"/>
      <c r="CC408" s="4"/>
      <c r="CD408" s="4"/>
      <c r="CE408" s="4"/>
      <c r="CF408" s="4"/>
    </row>
    <row r="409" spans="1:84" x14ac:dyDescent="0.3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S409" s="4"/>
      <c r="BT409" s="4"/>
      <c r="BU409" s="4"/>
      <c r="BV409" s="4"/>
      <c r="BW409" s="4"/>
      <c r="BX409" s="4"/>
      <c r="BY409" s="4"/>
      <c r="BZ409" s="4"/>
      <c r="CA409" s="4"/>
      <c r="CB409" s="4"/>
      <c r="CC409" s="4"/>
      <c r="CD409" s="4"/>
      <c r="CE409" s="4"/>
      <c r="CF409" s="4"/>
    </row>
    <row r="410" spans="1:84" x14ac:dyDescent="0.3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S410" s="4"/>
      <c r="BT410" s="4"/>
      <c r="BU410" s="4"/>
      <c r="BV410" s="4"/>
      <c r="BW410" s="4"/>
      <c r="BX410" s="4"/>
      <c r="BY410" s="4"/>
      <c r="BZ410" s="4"/>
      <c r="CA410" s="4"/>
      <c r="CB410" s="4"/>
      <c r="CC410" s="4"/>
      <c r="CD410" s="4"/>
      <c r="CE410" s="4"/>
      <c r="CF410" s="4"/>
    </row>
    <row r="411" spans="1:84" x14ac:dyDescent="0.3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S411" s="4"/>
      <c r="BT411" s="4"/>
      <c r="BU411" s="4"/>
      <c r="BV411" s="4"/>
      <c r="BW411" s="4"/>
      <c r="BX411" s="4"/>
      <c r="BY411" s="4"/>
      <c r="BZ411" s="4"/>
      <c r="CA411" s="4"/>
      <c r="CB411" s="4"/>
      <c r="CC411" s="4"/>
      <c r="CD411" s="4"/>
      <c r="CE411" s="4"/>
      <c r="CF411" s="4"/>
    </row>
    <row r="412" spans="1:84" x14ac:dyDescent="0.3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S412" s="4"/>
      <c r="BT412" s="4"/>
      <c r="BU412" s="4"/>
      <c r="BV412" s="4"/>
      <c r="BW412" s="4"/>
      <c r="BX412" s="4"/>
      <c r="BY412" s="4"/>
      <c r="BZ412" s="4"/>
      <c r="CA412" s="4"/>
      <c r="CB412" s="4"/>
      <c r="CC412" s="4"/>
      <c r="CD412" s="4"/>
      <c r="CE412" s="4"/>
      <c r="CF412" s="4"/>
    </row>
    <row r="413" spans="1:84" x14ac:dyDescent="0.3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S413" s="4"/>
      <c r="BT413" s="4"/>
      <c r="BU413" s="4"/>
      <c r="BV413" s="4"/>
      <c r="BW413" s="4"/>
      <c r="BX413" s="4"/>
      <c r="BY413" s="4"/>
      <c r="BZ413" s="4"/>
      <c r="CA413" s="4"/>
      <c r="CB413" s="4"/>
      <c r="CC413" s="4"/>
      <c r="CD413" s="4"/>
      <c r="CE413" s="4"/>
      <c r="CF413" s="4"/>
    </row>
    <row r="414" spans="1:84" x14ac:dyDescent="0.3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S414" s="4"/>
      <c r="BT414" s="4"/>
      <c r="BU414" s="4"/>
      <c r="BV414" s="4"/>
      <c r="BW414" s="4"/>
      <c r="BX414" s="4"/>
      <c r="BY414" s="4"/>
      <c r="BZ414" s="4"/>
      <c r="CA414" s="4"/>
      <c r="CB414" s="4"/>
      <c r="CC414" s="4"/>
      <c r="CD414" s="4"/>
      <c r="CE414" s="4"/>
      <c r="CF414" s="4"/>
    </row>
    <row r="415" spans="1:84" x14ac:dyDescent="0.3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S415" s="4"/>
      <c r="BT415" s="4"/>
      <c r="BU415" s="4"/>
      <c r="BV415" s="4"/>
      <c r="BW415" s="4"/>
      <c r="BX415" s="4"/>
      <c r="BY415" s="4"/>
      <c r="BZ415" s="4"/>
      <c r="CA415" s="4"/>
      <c r="CB415" s="4"/>
      <c r="CC415" s="4"/>
      <c r="CD415" s="4"/>
      <c r="CE415" s="4"/>
      <c r="CF415" s="4"/>
    </row>
    <row r="416" spans="1:84" x14ac:dyDescent="0.3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S416" s="4"/>
      <c r="BT416" s="4"/>
      <c r="BU416" s="4"/>
      <c r="BV416" s="4"/>
      <c r="BW416" s="4"/>
      <c r="BX416" s="4"/>
      <c r="BY416" s="4"/>
      <c r="BZ416" s="4"/>
      <c r="CA416" s="4"/>
      <c r="CB416" s="4"/>
      <c r="CC416" s="4"/>
      <c r="CD416" s="4"/>
      <c r="CE416" s="4"/>
      <c r="CF416" s="4"/>
    </row>
    <row r="417" spans="1:84" x14ac:dyDescent="0.3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S417" s="4"/>
      <c r="BT417" s="4"/>
      <c r="BU417" s="4"/>
      <c r="BV417" s="4"/>
      <c r="BW417" s="4"/>
      <c r="BX417" s="4"/>
      <c r="BY417" s="4"/>
      <c r="BZ417" s="4"/>
      <c r="CA417" s="4"/>
      <c r="CB417" s="4"/>
      <c r="CC417" s="4"/>
      <c r="CD417" s="4"/>
      <c r="CE417" s="4"/>
      <c r="CF417" s="4"/>
    </row>
    <row r="418" spans="1:84" x14ac:dyDescent="0.3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S418" s="4"/>
      <c r="BT418" s="4"/>
      <c r="BU418" s="4"/>
      <c r="BV418" s="4"/>
      <c r="BW418" s="4"/>
      <c r="BX418" s="4"/>
      <c r="BY418" s="4"/>
      <c r="BZ418" s="4"/>
      <c r="CA418" s="4"/>
      <c r="CB418" s="4"/>
      <c r="CC418" s="4"/>
      <c r="CD418" s="4"/>
      <c r="CE418" s="4"/>
      <c r="CF418" s="4"/>
    </row>
    <row r="419" spans="1:84" x14ac:dyDescent="0.3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S419" s="4"/>
      <c r="BT419" s="4"/>
      <c r="BU419" s="4"/>
      <c r="BV419" s="4"/>
      <c r="BW419" s="4"/>
      <c r="BX419" s="4"/>
      <c r="BY419" s="4"/>
      <c r="BZ419" s="4"/>
      <c r="CA419" s="4"/>
      <c r="CB419" s="4"/>
      <c r="CC419" s="4"/>
      <c r="CD419" s="4"/>
      <c r="CE419" s="4"/>
      <c r="CF419" s="4"/>
    </row>
    <row r="420" spans="1:84" x14ac:dyDescent="0.3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S420" s="4"/>
      <c r="BT420" s="4"/>
      <c r="BU420" s="4"/>
      <c r="BV420" s="4"/>
      <c r="BW420" s="4"/>
      <c r="BX420" s="4"/>
      <c r="BY420" s="4"/>
      <c r="BZ420" s="4"/>
      <c r="CA420" s="4"/>
      <c r="CB420" s="4"/>
      <c r="CC420" s="4"/>
      <c r="CD420" s="4"/>
      <c r="CE420" s="4"/>
      <c r="CF420" s="4"/>
    </row>
    <row r="421" spans="1:84" x14ac:dyDescent="0.3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S421" s="4"/>
      <c r="BT421" s="4"/>
      <c r="BU421" s="4"/>
      <c r="BV421" s="4"/>
      <c r="BW421" s="4"/>
      <c r="BX421" s="4"/>
      <c r="BY421" s="4"/>
      <c r="BZ421" s="4"/>
      <c r="CA421" s="4"/>
      <c r="CB421" s="4"/>
      <c r="CC421" s="4"/>
      <c r="CD421" s="4"/>
      <c r="CE421" s="4"/>
      <c r="CF421" s="4"/>
    </row>
    <row r="422" spans="1:84" x14ac:dyDescent="0.3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S422" s="4"/>
      <c r="BT422" s="4"/>
      <c r="BU422" s="4"/>
      <c r="BV422" s="4"/>
      <c r="BW422" s="4"/>
      <c r="BX422" s="4"/>
      <c r="BY422" s="4"/>
      <c r="BZ422" s="4"/>
      <c r="CA422" s="4"/>
      <c r="CB422" s="4"/>
      <c r="CC422" s="4"/>
      <c r="CD422" s="4"/>
      <c r="CE422" s="4"/>
      <c r="CF422" s="4"/>
    </row>
    <row r="423" spans="1:84" x14ac:dyDescent="0.3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S423" s="4"/>
      <c r="BT423" s="4"/>
      <c r="BU423" s="4"/>
      <c r="BV423" s="4"/>
      <c r="BW423" s="4"/>
      <c r="BX423" s="4"/>
      <c r="BY423" s="4"/>
      <c r="BZ423" s="4"/>
      <c r="CA423" s="4"/>
      <c r="CB423" s="4"/>
      <c r="CC423" s="4"/>
      <c r="CD423" s="4"/>
      <c r="CE423" s="4"/>
      <c r="CF423" s="4"/>
    </row>
    <row r="424" spans="1:84" x14ac:dyDescent="0.3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S424" s="4"/>
      <c r="BT424" s="4"/>
      <c r="BU424" s="4"/>
      <c r="BV424" s="4"/>
      <c r="BW424" s="4"/>
      <c r="BX424" s="4"/>
      <c r="BY424" s="4"/>
      <c r="BZ424" s="4"/>
      <c r="CA424" s="4"/>
      <c r="CB424" s="4"/>
      <c r="CC424" s="4"/>
      <c r="CD424" s="4"/>
      <c r="CE424" s="4"/>
      <c r="CF424" s="4"/>
    </row>
    <row r="425" spans="1:84" x14ac:dyDescent="0.3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S425" s="4"/>
      <c r="BT425" s="4"/>
      <c r="BU425" s="4"/>
      <c r="BV425" s="4"/>
      <c r="BW425" s="4"/>
      <c r="BX425" s="4"/>
      <c r="BY425" s="4"/>
      <c r="BZ425" s="4"/>
      <c r="CA425" s="4"/>
      <c r="CB425" s="4"/>
      <c r="CC425" s="4"/>
      <c r="CD425" s="4"/>
      <c r="CE425" s="4"/>
      <c r="CF425" s="4"/>
    </row>
    <row r="426" spans="1:84" x14ac:dyDescent="0.3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S426" s="4"/>
      <c r="BT426" s="4"/>
      <c r="BU426" s="4"/>
      <c r="BV426" s="4"/>
      <c r="BW426" s="4"/>
      <c r="BX426" s="4"/>
      <c r="BY426" s="4"/>
      <c r="BZ426" s="4"/>
      <c r="CA426" s="4"/>
      <c r="CB426" s="4"/>
      <c r="CC426" s="4"/>
      <c r="CD426" s="4"/>
      <c r="CE426" s="4"/>
      <c r="CF426" s="4"/>
    </row>
    <row r="427" spans="1:84" x14ac:dyDescent="0.3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S427" s="4"/>
      <c r="BT427" s="4"/>
      <c r="BU427" s="4"/>
      <c r="BV427" s="4"/>
      <c r="BW427" s="4"/>
      <c r="BX427" s="4"/>
      <c r="BY427" s="4"/>
      <c r="BZ427" s="4"/>
      <c r="CA427" s="4"/>
      <c r="CB427" s="4"/>
      <c r="CC427" s="4"/>
      <c r="CD427" s="4"/>
      <c r="CE427" s="4"/>
      <c r="CF427" s="4"/>
    </row>
    <row r="428" spans="1:84" x14ac:dyDescent="0.3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S428" s="4"/>
      <c r="BT428" s="4"/>
      <c r="BU428" s="4"/>
      <c r="BV428" s="4"/>
      <c r="BW428" s="4"/>
      <c r="BX428" s="4"/>
      <c r="BY428" s="4"/>
      <c r="BZ428" s="4"/>
      <c r="CA428" s="4"/>
      <c r="CB428" s="4"/>
      <c r="CC428" s="4"/>
      <c r="CD428" s="4"/>
      <c r="CE428" s="4"/>
      <c r="CF428" s="4"/>
    </row>
    <row r="429" spans="1:84" x14ac:dyDescent="0.3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S429" s="4"/>
      <c r="BT429" s="4"/>
      <c r="BU429" s="4"/>
      <c r="BV429" s="4"/>
      <c r="BW429" s="4"/>
      <c r="BX429" s="4"/>
      <c r="BY429" s="4"/>
      <c r="BZ429" s="4"/>
      <c r="CA429" s="4"/>
      <c r="CB429" s="4"/>
      <c r="CC429" s="4"/>
      <c r="CD429" s="4"/>
      <c r="CE429" s="4"/>
      <c r="CF429" s="4"/>
    </row>
    <row r="430" spans="1:84" x14ac:dyDescent="0.3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S430" s="4"/>
      <c r="BT430" s="4"/>
      <c r="BU430" s="4"/>
      <c r="BV430" s="4"/>
      <c r="BW430" s="4"/>
      <c r="BX430" s="4"/>
      <c r="BY430" s="4"/>
      <c r="BZ430" s="4"/>
      <c r="CA430" s="4"/>
      <c r="CB430" s="4"/>
      <c r="CC430" s="4"/>
      <c r="CD430" s="4"/>
      <c r="CE430" s="4"/>
      <c r="CF430" s="4"/>
    </row>
    <row r="431" spans="1:84" x14ac:dyDescent="0.3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S431" s="4"/>
      <c r="BT431" s="4"/>
      <c r="BU431" s="4"/>
      <c r="BV431" s="4"/>
      <c r="BW431" s="4"/>
      <c r="BX431" s="4"/>
      <c r="BY431" s="4"/>
      <c r="BZ431" s="4"/>
      <c r="CA431" s="4"/>
      <c r="CB431" s="4"/>
      <c r="CC431" s="4"/>
      <c r="CD431" s="4"/>
      <c r="CE431" s="4"/>
      <c r="CF431" s="4"/>
    </row>
    <row r="432" spans="1:84" x14ac:dyDescent="0.3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S432" s="4"/>
      <c r="BT432" s="4"/>
      <c r="BU432" s="4"/>
      <c r="BV432" s="4"/>
      <c r="BW432" s="4"/>
      <c r="BX432" s="4"/>
      <c r="BY432" s="4"/>
      <c r="BZ432" s="4"/>
      <c r="CA432" s="4"/>
      <c r="CB432" s="4"/>
      <c r="CC432" s="4"/>
      <c r="CD432" s="4"/>
      <c r="CE432" s="4"/>
      <c r="CF432" s="4"/>
    </row>
    <row r="433" spans="1:84" x14ac:dyDescent="0.3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S433" s="4"/>
      <c r="BT433" s="4"/>
      <c r="BU433" s="4"/>
      <c r="BV433" s="4"/>
      <c r="BW433" s="4"/>
      <c r="BX433" s="4"/>
      <c r="BY433" s="4"/>
      <c r="BZ433" s="4"/>
      <c r="CA433" s="4"/>
      <c r="CB433" s="4"/>
      <c r="CC433" s="4"/>
      <c r="CD433" s="4"/>
      <c r="CE433" s="4"/>
      <c r="CF433" s="4"/>
    </row>
    <row r="434" spans="1:84" x14ac:dyDescent="0.3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S434" s="4"/>
      <c r="BT434" s="4"/>
      <c r="BU434" s="4"/>
      <c r="BV434" s="4"/>
      <c r="BW434" s="4"/>
      <c r="BX434" s="4"/>
      <c r="BY434" s="4"/>
      <c r="BZ434" s="4"/>
      <c r="CA434" s="4"/>
      <c r="CB434" s="4"/>
      <c r="CC434" s="4"/>
      <c r="CD434" s="4"/>
      <c r="CE434" s="4"/>
      <c r="CF434" s="4"/>
    </row>
    <row r="435" spans="1:84" x14ac:dyDescent="0.3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S435" s="4"/>
      <c r="BT435" s="4"/>
      <c r="BU435" s="4"/>
      <c r="BV435" s="4"/>
      <c r="BW435" s="4"/>
      <c r="BX435" s="4"/>
      <c r="BY435" s="4"/>
      <c r="BZ435" s="4"/>
      <c r="CA435" s="4"/>
      <c r="CB435" s="4"/>
      <c r="CC435" s="4"/>
      <c r="CD435" s="4"/>
      <c r="CE435" s="4"/>
      <c r="CF435" s="4"/>
    </row>
    <row r="436" spans="1:84" x14ac:dyDescent="0.3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S436" s="4"/>
      <c r="BT436" s="4"/>
      <c r="BU436" s="4"/>
      <c r="BV436" s="4"/>
      <c r="BW436" s="4"/>
      <c r="BX436" s="4"/>
      <c r="BY436" s="4"/>
      <c r="BZ436" s="4"/>
      <c r="CA436" s="4"/>
      <c r="CB436" s="4"/>
      <c r="CC436" s="4"/>
      <c r="CD436" s="4"/>
      <c r="CE436" s="4"/>
      <c r="CF436" s="4"/>
    </row>
    <row r="437" spans="1:84" x14ac:dyDescent="0.3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S437" s="4"/>
      <c r="BT437" s="4"/>
      <c r="BU437" s="4"/>
      <c r="BV437" s="4"/>
      <c r="BW437" s="4"/>
      <c r="BX437" s="4"/>
      <c r="BY437" s="4"/>
      <c r="BZ437" s="4"/>
      <c r="CA437" s="4"/>
      <c r="CB437" s="4"/>
      <c r="CC437" s="4"/>
      <c r="CD437" s="4"/>
      <c r="CE437" s="4"/>
      <c r="CF437" s="4"/>
    </row>
    <row r="438" spans="1:84" x14ac:dyDescent="0.3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S438" s="4"/>
      <c r="BT438" s="4"/>
      <c r="BU438" s="4"/>
      <c r="BV438" s="4"/>
      <c r="BW438" s="4"/>
      <c r="BX438" s="4"/>
      <c r="BY438" s="4"/>
      <c r="BZ438" s="4"/>
      <c r="CA438" s="4"/>
      <c r="CB438" s="4"/>
      <c r="CC438" s="4"/>
      <c r="CD438" s="4"/>
      <c r="CE438" s="4"/>
      <c r="CF438" s="4"/>
    </row>
    <row r="439" spans="1:84" x14ac:dyDescent="0.3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S439" s="4"/>
      <c r="BT439" s="4"/>
      <c r="BU439" s="4"/>
      <c r="BV439" s="4"/>
      <c r="BW439" s="4"/>
      <c r="BX439" s="4"/>
      <c r="BY439" s="4"/>
      <c r="BZ439" s="4"/>
      <c r="CA439" s="4"/>
      <c r="CB439" s="4"/>
      <c r="CC439" s="4"/>
      <c r="CD439" s="4"/>
      <c r="CE439" s="4"/>
      <c r="CF439" s="4"/>
    </row>
    <row r="440" spans="1:84" x14ac:dyDescent="0.3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S440" s="4"/>
      <c r="BT440" s="4"/>
      <c r="BU440" s="4"/>
      <c r="BV440" s="4"/>
      <c r="BW440" s="4"/>
      <c r="BX440" s="4"/>
      <c r="BY440" s="4"/>
      <c r="BZ440" s="4"/>
      <c r="CA440" s="4"/>
      <c r="CB440" s="4"/>
      <c r="CC440" s="4"/>
      <c r="CD440" s="4"/>
      <c r="CE440" s="4"/>
      <c r="CF440" s="4"/>
    </row>
    <row r="441" spans="1:84" x14ac:dyDescent="0.3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S441" s="4"/>
      <c r="BT441" s="4"/>
      <c r="BU441" s="4"/>
      <c r="BV441" s="4"/>
      <c r="BW441" s="4"/>
      <c r="BX441" s="4"/>
      <c r="BY441" s="4"/>
      <c r="BZ441" s="4"/>
      <c r="CA441" s="4"/>
      <c r="CB441" s="4"/>
      <c r="CC441" s="4"/>
      <c r="CD441" s="4"/>
      <c r="CE441" s="4"/>
      <c r="CF441" s="4"/>
    </row>
    <row r="442" spans="1:84" x14ac:dyDescent="0.3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S442" s="4"/>
      <c r="BT442" s="4"/>
      <c r="BU442" s="4"/>
      <c r="BV442" s="4"/>
      <c r="BW442" s="4"/>
      <c r="BX442" s="4"/>
      <c r="BY442" s="4"/>
      <c r="BZ442" s="4"/>
      <c r="CA442" s="4"/>
      <c r="CB442" s="4"/>
      <c r="CC442" s="4"/>
      <c r="CD442" s="4"/>
      <c r="CE442" s="4"/>
      <c r="CF442" s="4"/>
    </row>
    <row r="443" spans="1:84" x14ac:dyDescent="0.3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S443" s="4"/>
      <c r="BT443" s="4"/>
      <c r="BU443" s="4"/>
      <c r="BV443" s="4"/>
      <c r="BW443" s="4"/>
      <c r="BX443" s="4"/>
      <c r="BY443" s="4"/>
      <c r="BZ443" s="4"/>
      <c r="CA443" s="4"/>
      <c r="CB443" s="4"/>
      <c r="CC443" s="4"/>
      <c r="CD443" s="4"/>
      <c r="CE443" s="4"/>
      <c r="CF443" s="4"/>
    </row>
    <row r="444" spans="1:84" x14ac:dyDescent="0.3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S444" s="4"/>
      <c r="BT444" s="4"/>
      <c r="BU444" s="4"/>
      <c r="BV444" s="4"/>
      <c r="BW444" s="4"/>
      <c r="BX444" s="4"/>
      <c r="BY444" s="4"/>
      <c r="BZ444" s="4"/>
      <c r="CA444" s="4"/>
      <c r="CB444" s="4"/>
      <c r="CC444" s="4"/>
      <c r="CD444" s="4"/>
      <c r="CE444" s="4"/>
      <c r="CF444" s="4"/>
    </row>
    <row r="445" spans="1:84" x14ac:dyDescent="0.3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S445" s="4"/>
      <c r="BT445" s="4"/>
      <c r="BU445" s="4"/>
      <c r="BV445" s="4"/>
      <c r="BW445" s="4"/>
      <c r="BX445" s="4"/>
      <c r="BY445" s="4"/>
      <c r="BZ445" s="4"/>
      <c r="CA445" s="4"/>
      <c r="CB445" s="4"/>
      <c r="CC445" s="4"/>
      <c r="CD445" s="4"/>
      <c r="CE445" s="4"/>
      <c r="CF445" s="4"/>
    </row>
    <row r="446" spans="1:84" x14ac:dyDescent="0.3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S446" s="4"/>
      <c r="BT446" s="4"/>
      <c r="BU446" s="4"/>
      <c r="BV446" s="4"/>
      <c r="BW446" s="4"/>
      <c r="BX446" s="4"/>
      <c r="BY446" s="4"/>
      <c r="BZ446" s="4"/>
      <c r="CA446" s="4"/>
      <c r="CB446" s="4"/>
      <c r="CC446" s="4"/>
      <c r="CD446" s="4"/>
      <c r="CE446" s="4"/>
      <c r="CF446" s="4"/>
    </row>
    <row r="447" spans="1:84" x14ac:dyDescent="0.3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S447" s="4"/>
      <c r="BT447" s="4"/>
      <c r="BU447" s="4"/>
      <c r="BV447" s="4"/>
      <c r="BW447" s="4"/>
      <c r="BX447" s="4"/>
      <c r="BY447" s="4"/>
      <c r="BZ447" s="4"/>
      <c r="CA447" s="4"/>
      <c r="CB447" s="4"/>
      <c r="CC447" s="4"/>
      <c r="CD447" s="4"/>
      <c r="CE447" s="4"/>
      <c r="CF447" s="4"/>
    </row>
    <row r="448" spans="1:84" x14ac:dyDescent="0.3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S448" s="4"/>
      <c r="BT448" s="4"/>
      <c r="BU448" s="4"/>
      <c r="BV448" s="4"/>
      <c r="BW448" s="4"/>
      <c r="BX448" s="4"/>
      <c r="BY448" s="4"/>
      <c r="BZ448" s="4"/>
      <c r="CA448" s="4"/>
      <c r="CB448" s="4"/>
      <c r="CC448" s="4"/>
      <c r="CD448" s="4"/>
      <c r="CE448" s="4"/>
      <c r="CF448" s="4"/>
    </row>
    <row r="449" spans="1:84" x14ac:dyDescent="0.3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S449" s="4"/>
      <c r="BT449" s="4"/>
      <c r="BU449" s="4"/>
      <c r="BV449" s="4"/>
      <c r="BW449" s="4"/>
      <c r="BX449" s="4"/>
      <c r="BY449" s="4"/>
      <c r="BZ449" s="4"/>
      <c r="CA449" s="4"/>
      <c r="CB449" s="4"/>
      <c r="CC449" s="4"/>
      <c r="CD449" s="4"/>
      <c r="CE449" s="4"/>
      <c r="CF449" s="4"/>
    </row>
    <row r="450" spans="1:84" x14ac:dyDescent="0.3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S450" s="4"/>
      <c r="BT450" s="4"/>
      <c r="BU450" s="4"/>
      <c r="BV450" s="4"/>
      <c r="BW450" s="4"/>
      <c r="BX450" s="4"/>
      <c r="BY450" s="4"/>
      <c r="BZ450" s="4"/>
      <c r="CA450" s="4"/>
      <c r="CB450" s="4"/>
      <c r="CC450" s="4"/>
      <c r="CD450" s="4"/>
      <c r="CE450" s="4"/>
      <c r="CF450" s="4"/>
    </row>
    <row r="451" spans="1:84" x14ac:dyDescent="0.3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S451" s="4"/>
      <c r="BT451" s="4"/>
      <c r="BU451" s="4"/>
      <c r="BV451" s="4"/>
      <c r="BW451" s="4"/>
      <c r="BX451" s="4"/>
      <c r="BY451" s="4"/>
      <c r="BZ451" s="4"/>
      <c r="CA451" s="4"/>
      <c r="CB451" s="4"/>
      <c r="CC451" s="4"/>
      <c r="CD451" s="4"/>
      <c r="CE451" s="4"/>
      <c r="CF451" s="4"/>
    </row>
    <row r="452" spans="1:84" x14ac:dyDescent="0.3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S452" s="4"/>
      <c r="BT452" s="4"/>
      <c r="BU452" s="4"/>
      <c r="BV452" s="4"/>
      <c r="BW452" s="4"/>
      <c r="BX452" s="4"/>
      <c r="BY452" s="4"/>
      <c r="BZ452" s="4"/>
      <c r="CA452" s="4"/>
      <c r="CB452" s="4"/>
      <c r="CC452" s="4"/>
      <c r="CD452" s="4"/>
      <c r="CE452" s="4"/>
      <c r="CF452" s="4"/>
    </row>
    <row r="453" spans="1:84" x14ac:dyDescent="0.3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S453" s="4"/>
      <c r="BT453" s="4"/>
      <c r="BU453" s="4"/>
      <c r="BV453" s="4"/>
      <c r="BW453" s="4"/>
      <c r="BX453" s="4"/>
      <c r="BY453" s="4"/>
      <c r="BZ453" s="4"/>
      <c r="CA453" s="4"/>
      <c r="CB453" s="4"/>
      <c r="CC453" s="4"/>
      <c r="CD453" s="4"/>
      <c r="CE453" s="4"/>
      <c r="CF453" s="4"/>
    </row>
    <row r="454" spans="1:84" x14ac:dyDescent="0.3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S454" s="4"/>
      <c r="BT454" s="4"/>
      <c r="BU454" s="4"/>
      <c r="BV454" s="4"/>
      <c r="BW454" s="4"/>
      <c r="BX454" s="4"/>
      <c r="BY454" s="4"/>
      <c r="BZ454" s="4"/>
      <c r="CA454" s="4"/>
      <c r="CB454" s="4"/>
      <c r="CC454" s="4"/>
      <c r="CD454" s="4"/>
      <c r="CE454" s="4"/>
      <c r="CF454" s="4"/>
    </row>
    <row r="455" spans="1:84" x14ac:dyDescent="0.3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S455" s="4"/>
      <c r="BT455" s="4"/>
      <c r="BU455" s="4"/>
      <c r="BV455" s="4"/>
      <c r="BW455" s="4"/>
      <c r="BX455" s="4"/>
      <c r="BY455" s="4"/>
      <c r="BZ455" s="4"/>
      <c r="CA455" s="4"/>
      <c r="CB455" s="4"/>
      <c r="CC455" s="4"/>
      <c r="CD455" s="4"/>
      <c r="CE455" s="4"/>
      <c r="CF455" s="4"/>
    </row>
    <row r="456" spans="1:84" x14ac:dyDescent="0.3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S456" s="4"/>
      <c r="BT456" s="4"/>
      <c r="BU456" s="4"/>
      <c r="BV456" s="4"/>
      <c r="BW456" s="4"/>
      <c r="BX456" s="4"/>
      <c r="BY456" s="4"/>
      <c r="BZ456" s="4"/>
      <c r="CA456" s="4"/>
      <c r="CB456" s="4"/>
      <c r="CC456" s="4"/>
      <c r="CD456" s="4"/>
      <c r="CE456" s="4"/>
      <c r="CF456" s="4"/>
    </row>
    <row r="457" spans="1:84" x14ac:dyDescent="0.3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S457" s="4"/>
      <c r="BT457" s="4"/>
      <c r="BU457" s="4"/>
      <c r="BV457" s="4"/>
      <c r="BW457" s="4"/>
      <c r="BX457" s="4"/>
      <c r="BY457" s="4"/>
      <c r="BZ457" s="4"/>
      <c r="CA457" s="4"/>
      <c r="CB457" s="4"/>
      <c r="CC457" s="4"/>
      <c r="CD457" s="4"/>
      <c r="CE457" s="4"/>
      <c r="CF457" s="4"/>
    </row>
    <row r="458" spans="1:84" x14ac:dyDescent="0.3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S458" s="4"/>
      <c r="BT458" s="4"/>
      <c r="BU458" s="4"/>
      <c r="BV458" s="4"/>
      <c r="BW458" s="4"/>
      <c r="BX458" s="4"/>
      <c r="BY458" s="4"/>
      <c r="BZ458" s="4"/>
      <c r="CA458" s="4"/>
      <c r="CB458" s="4"/>
      <c r="CC458" s="4"/>
      <c r="CD458" s="4"/>
      <c r="CE458" s="4"/>
      <c r="CF458" s="4"/>
    </row>
    <row r="459" spans="1:84" x14ac:dyDescent="0.3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S459" s="4"/>
      <c r="BT459" s="4"/>
      <c r="BU459" s="4"/>
      <c r="BV459" s="4"/>
      <c r="BW459" s="4"/>
      <c r="BX459" s="4"/>
      <c r="BY459" s="4"/>
      <c r="BZ459" s="4"/>
      <c r="CA459" s="4"/>
      <c r="CB459" s="4"/>
      <c r="CC459" s="4"/>
      <c r="CD459" s="4"/>
      <c r="CE459" s="4"/>
      <c r="CF459" s="4"/>
    </row>
    <row r="460" spans="1:84" x14ac:dyDescent="0.3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S460" s="4"/>
      <c r="BT460" s="4"/>
      <c r="BU460" s="4"/>
      <c r="BV460" s="4"/>
      <c r="BW460" s="4"/>
      <c r="BX460" s="4"/>
      <c r="BY460" s="4"/>
      <c r="BZ460" s="4"/>
      <c r="CA460" s="4"/>
      <c r="CB460" s="4"/>
      <c r="CC460" s="4"/>
      <c r="CD460" s="4"/>
      <c r="CE460" s="4"/>
      <c r="CF460" s="4"/>
    </row>
    <row r="461" spans="1:84" x14ac:dyDescent="0.3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S461" s="4"/>
      <c r="BT461" s="4"/>
      <c r="BU461" s="4"/>
      <c r="BV461" s="4"/>
      <c r="BW461" s="4"/>
      <c r="BX461" s="4"/>
      <c r="BY461" s="4"/>
      <c r="BZ461" s="4"/>
      <c r="CA461" s="4"/>
      <c r="CB461" s="4"/>
      <c r="CC461" s="4"/>
      <c r="CD461" s="4"/>
      <c r="CE461" s="4"/>
      <c r="CF461" s="4"/>
    </row>
    <row r="462" spans="1:84" x14ac:dyDescent="0.3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S462" s="4"/>
      <c r="BT462" s="4"/>
      <c r="BU462" s="4"/>
      <c r="BV462" s="4"/>
      <c r="BW462" s="4"/>
      <c r="BX462" s="4"/>
      <c r="BY462" s="4"/>
      <c r="BZ462" s="4"/>
      <c r="CA462" s="4"/>
      <c r="CB462" s="4"/>
      <c r="CC462" s="4"/>
      <c r="CD462" s="4"/>
      <c r="CE462" s="4"/>
      <c r="CF462" s="4"/>
    </row>
    <row r="463" spans="1:84" x14ac:dyDescent="0.3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S463" s="4"/>
      <c r="BT463" s="4"/>
      <c r="BU463" s="4"/>
      <c r="BV463" s="4"/>
      <c r="BW463" s="4"/>
      <c r="BX463" s="4"/>
      <c r="BY463" s="4"/>
      <c r="BZ463" s="4"/>
      <c r="CA463" s="4"/>
      <c r="CB463" s="4"/>
      <c r="CC463" s="4"/>
      <c r="CD463" s="4"/>
      <c r="CE463" s="4"/>
      <c r="CF463" s="4"/>
    </row>
    <row r="464" spans="1:84" x14ac:dyDescent="0.3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S464" s="4"/>
      <c r="BT464" s="4"/>
      <c r="BU464" s="4"/>
      <c r="BV464" s="4"/>
      <c r="BW464" s="4"/>
      <c r="BX464" s="4"/>
      <c r="BY464" s="4"/>
      <c r="BZ464" s="4"/>
      <c r="CA464" s="4"/>
      <c r="CB464" s="4"/>
      <c r="CC464" s="4"/>
      <c r="CD464" s="4"/>
      <c r="CE464" s="4"/>
      <c r="CF464" s="4"/>
    </row>
    <row r="465" spans="1:84" x14ac:dyDescent="0.3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S465" s="4"/>
      <c r="BT465" s="4"/>
      <c r="BU465" s="4"/>
      <c r="BV465" s="4"/>
      <c r="BW465" s="4"/>
      <c r="BX465" s="4"/>
      <c r="BY465" s="4"/>
      <c r="BZ465" s="4"/>
      <c r="CA465" s="4"/>
      <c r="CB465" s="4"/>
      <c r="CC465" s="4"/>
      <c r="CD465" s="4"/>
      <c r="CE465" s="4"/>
      <c r="CF465" s="4"/>
    </row>
    <row r="466" spans="1:84" x14ac:dyDescent="0.3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S466" s="4"/>
      <c r="BT466" s="4"/>
      <c r="BU466" s="4"/>
      <c r="BV466" s="4"/>
      <c r="BW466" s="4"/>
      <c r="BX466" s="4"/>
      <c r="BY466" s="4"/>
      <c r="BZ466" s="4"/>
      <c r="CA466" s="4"/>
      <c r="CB466" s="4"/>
      <c r="CC466" s="4"/>
      <c r="CD466" s="4"/>
      <c r="CE466" s="4"/>
      <c r="CF466" s="4"/>
    </row>
    <row r="467" spans="1:84" x14ac:dyDescent="0.3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S467" s="4"/>
      <c r="BT467" s="4"/>
      <c r="BU467" s="4"/>
      <c r="BV467" s="4"/>
      <c r="BW467" s="4"/>
      <c r="BX467" s="4"/>
      <c r="BY467" s="4"/>
      <c r="BZ467" s="4"/>
      <c r="CA467" s="4"/>
      <c r="CB467" s="4"/>
      <c r="CC467" s="4"/>
      <c r="CD467" s="4"/>
      <c r="CE467" s="4"/>
      <c r="CF467" s="4"/>
    </row>
    <row r="468" spans="1:84" x14ac:dyDescent="0.3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S468" s="4"/>
      <c r="BT468" s="4"/>
      <c r="BU468" s="4"/>
      <c r="BV468" s="4"/>
      <c r="BW468" s="4"/>
      <c r="BX468" s="4"/>
      <c r="BY468" s="4"/>
      <c r="BZ468" s="4"/>
      <c r="CA468" s="4"/>
      <c r="CB468" s="4"/>
      <c r="CC468" s="4"/>
      <c r="CD468" s="4"/>
      <c r="CE468" s="4"/>
      <c r="CF468" s="4"/>
    </row>
    <row r="469" spans="1:84" x14ac:dyDescent="0.3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S469" s="4"/>
      <c r="BT469" s="4"/>
      <c r="BU469" s="4"/>
      <c r="BV469" s="4"/>
      <c r="BW469" s="4"/>
      <c r="BX469" s="4"/>
      <c r="BY469" s="4"/>
      <c r="BZ469" s="4"/>
      <c r="CA469" s="4"/>
      <c r="CB469" s="4"/>
      <c r="CC469" s="4"/>
      <c r="CD469" s="4"/>
      <c r="CE469" s="4"/>
      <c r="CF469" s="4"/>
    </row>
    <row r="470" spans="1:84" x14ac:dyDescent="0.3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S470" s="4"/>
      <c r="BT470" s="4"/>
      <c r="BU470" s="4"/>
      <c r="BV470" s="4"/>
      <c r="BW470" s="4"/>
      <c r="BX470" s="4"/>
      <c r="BY470" s="4"/>
      <c r="BZ470" s="4"/>
      <c r="CA470" s="4"/>
      <c r="CB470" s="4"/>
      <c r="CC470" s="4"/>
      <c r="CD470" s="4"/>
      <c r="CE470" s="4"/>
      <c r="CF470" s="4"/>
    </row>
    <row r="471" spans="1:84" x14ac:dyDescent="0.3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S471" s="4"/>
      <c r="BT471" s="4"/>
      <c r="BU471" s="4"/>
      <c r="BV471" s="4"/>
      <c r="BW471" s="4"/>
      <c r="BX471" s="4"/>
      <c r="BY471" s="4"/>
      <c r="BZ471" s="4"/>
      <c r="CA471" s="4"/>
      <c r="CB471" s="4"/>
      <c r="CC471" s="4"/>
      <c r="CD471" s="4"/>
      <c r="CE471" s="4"/>
      <c r="CF471" s="4"/>
    </row>
    <row r="472" spans="1:84" x14ac:dyDescent="0.3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S472" s="4"/>
      <c r="BT472" s="4"/>
      <c r="BU472" s="4"/>
      <c r="BV472" s="4"/>
      <c r="BW472" s="4"/>
      <c r="BX472" s="4"/>
      <c r="BY472" s="4"/>
      <c r="BZ472" s="4"/>
      <c r="CA472" s="4"/>
      <c r="CB472" s="4"/>
      <c r="CC472" s="4"/>
      <c r="CD472" s="4"/>
      <c r="CE472" s="4"/>
      <c r="CF472" s="4"/>
    </row>
    <row r="473" spans="1:84" x14ac:dyDescent="0.3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S473" s="4"/>
      <c r="BT473" s="4"/>
      <c r="BU473" s="4"/>
      <c r="BV473" s="4"/>
      <c r="BW473" s="4"/>
      <c r="BX473" s="4"/>
      <c r="BY473" s="4"/>
      <c r="BZ473" s="4"/>
      <c r="CA473" s="4"/>
      <c r="CB473" s="4"/>
      <c r="CC473" s="4"/>
      <c r="CD473" s="4"/>
      <c r="CE473" s="4"/>
      <c r="CF473" s="4"/>
    </row>
    <row r="474" spans="1:84" x14ac:dyDescent="0.3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S474" s="4"/>
      <c r="BT474" s="4"/>
      <c r="BU474" s="4"/>
      <c r="BV474" s="4"/>
      <c r="BW474" s="4"/>
      <c r="BX474" s="4"/>
      <c r="BY474" s="4"/>
      <c r="BZ474" s="4"/>
      <c r="CA474" s="4"/>
      <c r="CB474" s="4"/>
      <c r="CC474" s="4"/>
      <c r="CD474" s="4"/>
      <c r="CE474" s="4"/>
      <c r="CF474" s="4"/>
    </row>
    <row r="475" spans="1:84" x14ac:dyDescent="0.3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S475" s="4"/>
      <c r="BT475" s="4"/>
      <c r="BU475" s="4"/>
      <c r="BV475" s="4"/>
      <c r="BW475" s="4"/>
      <c r="BX475" s="4"/>
      <c r="BY475" s="4"/>
      <c r="BZ475" s="4"/>
      <c r="CA475" s="4"/>
      <c r="CB475" s="4"/>
      <c r="CC475" s="4"/>
      <c r="CD475" s="4"/>
      <c r="CE475" s="4"/>
      <c r="CF475" s="4"/>
    </row>
    <row r="476" spans="1:84" x14ac:dyDescent="0.3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S476" s="4"/>
      <c r="BT476" s="4"/>
      <c r="BU476" s="4"/>
      <c r="BV476" s="4"/>
      <c r="BW476" s="4"/>
      <c r="BX476" s="4"/>
      <c r="BY476" s="4"/>
      <c r="BZ476" s="4"/>
      <c r="CA476" s="4"/>
      <c r="CB476" s="4"/>
      <c r="CC476" s="4"/>
      <c r="CD476" s="4"/>
      <c r="CE476" s="4"/>
      <c r="CF476" s="4"/>
    </row>
    <row r="477" spans="1:84" x14ac:dyDescent="0.3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S477" s="4"/>
      <c r="BT477" s="4"/>
      <c r="BU477" s="4"/>
      <c r="BV477" s="4"/>
      <c r="BW477" s="4"/>
      <c r="BX477" s="4"/>
      <c r="BY477" s="4"/>
      <c r="BZ477" s="4"/>
      <c r="CA477" s="4"/>
      <c r="CB477" s="4"/>
      <c r="CC477" s="4"/>
      <c r="CD477" s="4"/>
      <c r="CE477" s="4"/>
      <c r="CF477" s="4"/>
    </row>
    <row r="478" spans="1:84" x14ac:dyDescent="0.3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S478" s="4"/>
      <c r="BT478" s="4"/>
      <c r="BU478" s="4"/>
      <c r="BV478" s="4"/>
      <c r="BW478" s="4"/>
      <c r="BX478" s="4"/>
      <c r="BY478" s="4"/>
      <c r="BZ478" s="4"/>
      <c r="CA478" s="4"/>
      <c r="CB478" s="4"/>
      <c r="CC478" s="4"/>
      <c r="CD478" s="4"/>
      <c r="CE478" s="4"/>
      <c r="CF478" s="4"/>
    </row>
    <row r="479" spans="1:84" x14ac:dyDescent="0.3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S479" s="4"/>
      <c r="BT479" s="4"/>
      <c r="BU479" s="4"/>
      <c r="BV479" s="4"/>
      <c r="BW479" s="4"/>
      <c r="BX479" s="4"/>
      <c r="BY479" s="4"/>
      <c r="BZ479" s="4"/>
      <c r="CA479" s="4"/>
      <c r="CB479" s="4"/>
      <c r="CC479" s="4"/>
      <c r="CD479" s="4"/>
      <c r="CE479" s="4"/>
      <c r="CF479" s="4"/>
    </row>
    <row r="480" spans="1:84" x14ac:dyDescent="0.3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S480" s="4"/>
      <c r="BT480" s="4"/>
      <c r="BU480" s="4"/>
      <c r="BV480" s="4"/>
      <c r="BW480" s="4"/>
      <c r="BX480" s="4"/>
      <c r="BY480" s="4"/>
      <c r="BZ480" s="4"/>
      <c r="CA480" s="4"/>
      <c r="CB480" s="4"/>
      <c r="CC480" s="4"/>
      <c r="CD480" s="4"/>
      <c r="CE480" s="4"/>
      <c r="CF480" s="4"/>
    </row>
    <row r="481" spans="1:84" x14ac:dyDescent="0.3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S481" s="4"/>
      <c r="BT481" s="4"/>
      <c r="BU481" s="4"/>
      <c r="BV481" s="4"/>
      <c r="BW481" s="4"/>
      <c r="BX481" s="4"/>
      <c r="BY481" s="4"/>
      <c r="BZ481" s="4"/>
      <c r="CA481" s="4"/>
      <c r="CB481" s="4"/>
      <c r="CC481" s="4"/>
      <c r="CD481" s="4"/>
      <c r="CE481" s="4"/>
      <c r="CF481" s="4"/>
    </row>
    <row r="482" spans="1:84" x14ac:dyDescent="0.3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S482" s="4"/>
      <c r="BT482" s="4"/>
      <c r="BU482" s="4"/>
      <c r="BV482" s="4"/>
      <c r="BW482" s="4"/>
      <c r="BX482" s="4"/>
      <c r="BY482" s="4"/>
      <c r="BZ482" s="4"/>
      <c r="CA482" s="4"/>
      <c r="CB482" s="4"/>
      <c r="CC482" s="4"/>
      <c r="CD482" s="4"/>
      <c r="CE482" s="4"/>
      <c r="CF482" s="4"/>
    </row>
    <row r="483" spans="1:84" x14ac:dyDescent="0.3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S483" s="4"/>
      <c r="BT483" s="4"/>
      <c r="BU483" s="4"/>
      <c r="BV483" s="4"/>
      <c r="BW483" s="4"/>
      <c r="BX483" s="4"/>
      <c r="BY483" s="4"/>
      <c r="BZ483" s="4"/>
      <c r="CA483" s="4"/>
      <c r="CB483" s="4"/>
      <c r="CC483" s="4"/>
      <c r="CD483" s="4"/>
      <c r="CE483" s="4"/>
      <c r="CF483" s="4"/>
    </row>
    <row r="484" spans="1:84" x14ac:dyDescent="0.3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S484" s="4"/>
      <c r="BT484" s="4"/>
      <c r="BU484" s="4"/>
      <c r="BV484" s="4"/>
      <c r="BW484" s="4"/>
      <c r="BX484" s="4"/>
      <c r="BY484" s="4"/>
      <c r="BZ484" s="4"/>
      <c r="CA484" s="4"/>
      <c r="CB484" s="4"/>
      <c r="CC484" s="4"/>
      <c r="CD484" s="4"/>
      <c r="CE484" s="4"/>
      <c r="CF484" s="4"/>
    </row>
    <row r="485" spans="1:84" x14ac:dyDescent="0.3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S485" s="4"/>
      <c r="BT485" s="4"/>
      <c r="BU485" s="4"/>
      <c r="BV485" s="4"/>
      <c r="BW485" s="4"/>
      <c r="BX485" s="4"/>
      <c r="BY485" s="4"/>
      <c r="BZ485" s="4"/>
      <c r="CA485" s="4"/>
      <c r="CB485" s="4"/>
      <c r="CC485" s="4"/>
      <c r="CD485" s="4"/>
      <c r="CE485" s="4"/>
      <c r="CF485" s="4"/>
    </row>
    <row r="486" spans="1:84" x14ac:dyDescent="0.3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S486" s="4"/>
      <c r="BT486" s="4"/>
      <c r="BU486" s="4"/>
      <c r="BV486" s="4"/>
      <c r="BW486" s="4"/>
      <c r="BX486" s="4"/>
      <c r="BY486" s="4"/>
      <c r="BZ486" s="4"/>
      <c r="CA486" s="4"/>
      <c r="CB486" s="4"/>
      <c r="CC486" s="4"/>
      <c r="CD486" s="4"/>
      <c r="CE486" s="4"/>
      <c r="CF486" s="4"/>
    </row>
    <row r="487" spans="1:84" x14ac:dyDescent="0.3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S487" s="4"/>
      <c r="BT487" s="4"/>
      <c r="BU487" s="4"/>
      <c r="BV487" s="4"/>
      <c r="BW487" s="4"/>
      <c r="BX487" s="4"/>
      <c r="BY487" s="4"/>
      <c r="BZ487" s="4"/>
      <c r="CA487" s="4"/>
      <c r="CB487" s="4"/>
      <c r="CC487" s="4"/>
      <c r="CD487" s="4"/>
      <c r="CE487" s="4"/>
      <c r="CF487" s="4"/>
    </row>
    <row r="488" spans="1:84" x14ac:dyDescent="0.3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S488" s="4"/>
      <c r="BT488" s="4"/>
      <c r="BU488" s="4"/>
      <c r="BV488" s="4"/>
      <c r="BW488" s="4"/>
      <c r="BX488" s="4"/>
      <c r="BY488" s="4"/>
      <c r="BZ488" s="4"/>
      <c r="CA488" s="4"/>
      <c r="CB488" s="4"/>
      <c r="CC488" s="4"/>
      <c r="CD488" s="4"/>
      <c r="CE488" s="4"/>
      <c r="CF488" s="4"/>
    </row>
    <row r="489" spans="1:84" x14ac:dyDescent="0.3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S489" s="4"/>
      <c r="BT489" s="4"/>
      <c r="BU489" s="4"/>
      <c r="BV489" s="4"/>
      <c r="BW489" s="4"/>
      <c r="BX489" s="4"/>
      <c r="BY489" s="4"/>
      <c r="BZ489" s="4"/>
      <c r="CA489" s="4"/>
      <c r="CB489" s="4"/>
      <c r="CC489" s="4"/>
      <c r="CD489" s="4"/>
      <c r="CE489" s="4"/>
      <c r="CF489" s="4"/>
    </row>
    <row r="490" spans="1:84" x14ac:dyDescent="0.3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S490" s="4"/>
      <c r="BT490" s="4"/>
      <c r="BU490" s="4"/>
      <c r="BV490" s="4"/>
      <c r="BW490" s="4"/>
      <c r="BX490" s="4"/>
      <c r="BY490" s="4"/>
      <c r="BZ490" s="4"/>
      <c r="CA490" s="4"/>
      <c r="CB490" s="4"/>
      <c r="CC490" s="4"/>
      <c r="CD490" s="4"/>
      <c r="CE490" s="4"/>
      <c r="CF490" s="4"/>
    </row>
    <row r="491" spans="1:84" x14ac:dyDescent="0.3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S491" s="4"/>
      <c r="BT491" s="4"/>
      <c r="BU491" s="4"/>
      <c r="BV491" s="4"/>
      <c r="BW491" s="4"/>
      <c r="BX491" s="4"/>
      <c r="BY491" s="4"/>
      <c r="BZ491" s="4"/>
      <c r="CA491" s="4"/>
      <c r="CB491" s="4"/>
      <c r="CC491" s="4"/>
      <c r="CD491" s="4"/>
      <c r="CE491" s="4"/>
      <c r="CF491" s="4"/>
    </row>
    <row r="492" spans="1:84" x14ac:dyDescent="0.3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S492" s="4"/>
      <c r="BT492" s="4"/>
      <c r="BU492" s="4"/>
      <c r="BV492" s="4"/>
      <c r="BW492" s="4"/>
      <c r="BX492" s="4"/>
      <c r="BY492" s="4"/>
      <c r="BZ492" s="4"/>
      <c r="CA492" s="4"/>
      <c r="CB492" s="4"/>
      <c r="CC492" s="4"/>
      <c r="CD492" s="4"/>
      <c r="CE492" s="4"/>
      <c r="CF492" s="4"/>
    </row>
    <row r="493" spans="1:84" x14ac:dyDescent="0.3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S493" s="4"/>
      <c r="BT493" s="4"/>
      <c r="BU493" s="4"/>
      <c r="BV493" s="4"/>
      <c r="BW493" s="4"/>
      <c r="BX493" s="4"/>
      <c r="BY493" s="4"/>
      <c r="BZ493" s="4"/>
      <c r="CA493" s="4"/>
      <c r="CB493" s="4"/>
      <c r="CC493" s="4"/>
      <c r="CD493" s="4"/>
      <c r="CE493" s="4"/>
      <c r="CF493" s="4"/>
    </row>
    <row r="494" spans="1:84" x14ac:dyDescent="0.3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S494" s="4"/>
      <c r="BT494" s="4"/>
      <c r="BU494" s="4"/>
      <c r="BV494" s="4"/>
      <c r="BW494" s="4"/>
      <c r="BX494" s="4"/>
      <c r="BY494" s="4"/>
      <c r="BZ494" s="4"/>
      <c r="CA494" s="4"/>
      <c r="CB494" s="4"/>
      <c r="CC494" s="4"/>
      <c r="CD494" s="4"/>
      <c r="CE494" s="4"/>
      <c r="CF494" s="4"/>
    </row>
    <row r="495" spans="1:84" x14ac:dyDescent="0.3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S495" s="4"/>
      <c r="BT495" s="4"/>
      <c r="BU495" s="4"/>
      <c r="BV495" s="4"/>
      <c r="BW495" s="4"/>
      <c r="BX495" s="4"/>
      <c r="BY495" s="4"/>
      <c r="BZ495" s="4"/>
      <c r="CA495" s="4"/>
      <c r="CB495" s="4"/>
      <c r="CC495" s="4"/>
      <c r="CD495" s="4"/>
      <c r="CE495" s="4"/>
      <c r="CF495" s="4"/>
    </row>
    <row r="496" spans="1:84" x14ac:dyDescent="0.3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S496" s="4"/>
      <c r="BT496" s="4"/>
      <c r="BU496" s="4"/>
      <c r="BV496" s="4"/>
      <c r="BW496" s="4"/>
      <c r="BX496" s="4"/>
      <c r="BY496" s="4"/>
      <c r="BZ496" s="4"/>
      <c r="CA496" s="4"/>
      <c r="CB496" s="4"/>
      <c r="CC496" s="4"/>
      <c r="CD496" s="4"/>
      <c r="CE496" s="4"/>
      <c r="CF496" s="4"/>
    </row>
    <row r="497" spans="1:84" x14ac:dyDescent="0.3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S497" s="4"/>
      <c r="BT497" s="4"/>
      <c r="BU497" s="4"/>
      <c r="BV497" s="4"/>
      <c r="BW497" s="4"/>
      <c r="BX497" s="4"/>
      <c r="BY497" s="4"/>
      <c r="BZ497" s="4"/>
      <c r="CA497" s="4"/>
      <c r="CB497" s="4"/>
      <c r="CC497" s="4"/>
      <c r="CD497" s="4"/>
      <c r="CE497" s="4"/>
      <c r="CF497" s="4"/>
    </row>
    <row r="498" spans="1:84" x14ac:dyDescent="0.3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S498" s="4"/>
      <c r="BT498" s="4"/>
      <c r="BU498" s="4"/>
      <c r="BV498" s="4"/>
      <c r="BW498" s="4"/>
      <c r="BX498" s="4"/>
      <c r="BY498" s="4"/>
      <c r="BZ498" s="4"/>
      <c r="CA498" s="4"/>
      <c r="CB498" s="4"/>
      <c r="CC498" s="4"/>
      <c r="CD498" s="4"/>
      <c r="CE498" s="4"/>
      <c r="CF498" s="4"/>
    </row>
    <row r="499" spans="1:84" x14ac:dyDescent="0.3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S499" s="4"/>
      <c r="BT499" s="4"/>
      <c r="BU499" s="4"/>
      <c r="BV499" s="4"/>
      <c r="BW499" s="4"/>
      <c r="BX499" s="4"/>
      <c r="BY499" s="4"/>
      <c r="BZ499" s="4"/>
      <c r="CA499" s="4"/>
      <c r="CB499" s="4"/>
      <c r="CC499" s="4"/>
      <c r="CD499" s="4"/>
      <c r="CE499" s="4"/>
      <c r="CF499" s="4"/>
    </row>
    <row r="500" spans="1:84" x14ac:dyDescent="0.3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S500" s="4"/>
      <c r="BT500" s="4"/>
      <c r="BU500" s="4"/>
      <c r="BV500" s="4"/>
      <c r="BW500" s="4"/>
      <c r="BX500" s="4"/>
      <c r="BY500" s="4"/>
      <c r="BZ500" s="4"/>
      <c r="CA500" s="4"/>
      <c r="CB500" s="4"/>
      <c r="CC500" s="4"/>
      <c r="CD500" s="4"/>
      <c r="CE500" s="4"/>
      <c r="CF500" s="4"/>
    </row>
    <row r="501" spans="1:84" x14ac:dyDescent="0.3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S501" s="4"/>
      <c r="BT501" s="4"/>
      <c r="BU501" s="4"/>
      <c r="BV501" s="4"/>
      <c r="BW501" s="4"/>
      <c r="BX501" s="4"/>
      <c r="BY501" s="4"/>
      <c r="BZ501" s="4"/>
      <c r="CA501" s="4"/>
      <c r="CB501" s="4"/>
      <c r="CC501" s="4"/>
      <c r="CD501" s="4"/>
      <c r="CE501" s="4"/>
      <c r="CF501" s="4"/>
    </row>
    <row r="502" spans="1:84" x14ac:dyDescent="0.3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S502" s="4"/>
      <c r="BT502" s="4"/>
      <c r="BU502" s="4"/>
      <c r="BV502" s="4"/>
      <c r="BW502" s="4"/>
      <c r="BX502" s="4"/>
      <c r="BY502" s="4"/>
      <c r="BZ502" s="4"/>
      <c r="CA502" s="4"/>
      <c r="CB502" s="4"/>
      <c r="CC502" s="4"/>
      <c r="CD502" s="4"/>
      <c r="CE502" s="4"/>
      <c r="CF502" s="4"/>
    </row>
    <row r="503" spans="1:84" x14ac:dyDescent="0.3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S503" s="4"/>
      <c r="BT503" s="4"/>
      <c r="BU503" s="4"/>
      <c r="BV503" s="4"/>
      <c r="BW503" s="4"/>
      <c r="BX503" s="4"/>
      <c r="BY503" s="4"/>
      <c r="BZ503" s="4"/>
      <c r="CA503" s="4"/>
      <c r="CB503" s="4"/>
      <c r="CC503" s="4"/>
      <c r="CD503" s="4"/>
      <c r="CE503" s="4"/>
      <c r="CF503" s="4"/>
    </row>
    <row r="504" spans="1:84" x14ac:dyDescent="0.3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S504" s="4"/>
      <c r="BT504" s="4"/>
      <c r="BU504" s="4"/>
      <c r="BV504" s="4"/>
      <c r="BW504" s="4"/>
      <c r="BX504" s="4"/>
      <c r="BY504" s="4"/>
      <c r="BZ504" s="4"/>
      <c r="CA504" s="4"/>
      <c r="CB504" s="4"/>
      <c r="CC504" s="4"/>
      <c r="CD504" s="4"/>
      <c r="CE504" s="4"/>
      <c r="CF504" s="4"/>
    </row>
    <row r="505" spans="1:84" x14ac:dyDescent="0.3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S505" s="4"/>
      <c r="BT505" s="4"/>
      <c r="BU505" s="4"/>
      <c r="BV505" s="4"/>
      <c r="BW505" s="4"/>
      <c r="BX505" s="4"/>
      <c r="BY505" s="4"/>
      <c r="BZ505" s="4"/>
      <c r="CA505" s="4"/>
      <c r="CB505" s="4"/>
      <c r="CC505" s="4"/>
      <c r="CD505" s="4"/>
      <c r="CE505" s="4"/>
      <c r="CF505" s="4"/>
    </row>
    <row r="506" spans="1:84" x14ac:dyDescent="0.3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S506" s="4"/>
      <c r="BT506" s="4"/>
      <c r="BU506" s="4"/>
      <c r="BV506" s="4"/>
      <c r="BW506" s="4"/>
      <c r="BX506" s="4"/>
      <c r="BY506" s="4"/>
      <c r="BZ506" s="4"/>
      <c r="CA506" s="4"/>
      <c r="CB506" s="4"/>
      <c r="CC506" s="4"/>
      <c r="CD506" s="4"/>
      <c r="CE506" s="4"/>
      <c r="CF506" s="4"/>
    </row>
    <row r="507" spans="1:84" x14ac:dyDescent="0.3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S507" s="4"/>
      <c r="BT507" s="4"/>
      <c r="BU507" s="4"/>
      <c r="BV507" s="4"/>
      <c r="BW507" s="4"/>
      <c r="BX507" s="4"/>
      <c r="BY507" s="4"/>
      <c r="BZ507" s="4"/>
      <c r="CA507" s="4"/>
      <c r="CB507" s="4"/>
      <c r="CC507" s="4"/>
      <c r="CD507" s="4"/>
      <c r="CE507" s="4"/>
      <c r="CF507" s="4"/>
    </row>
    <row r="508" spans="1:84" x14ac:dyDescent="0.3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S508" s="4"/>
      <c r="BT508" s="4"/>
      <c r="BU508" s="4"/>
      <c r="BV508" s="4"/>
      <c r="BW508" s="4"/>
      <c r="BX508" s="4"/>
      <c r="BY508" s="4"/>
      <c r="BZ508" s="4"/>
      <c r="CA508" s="4"/>
      <c r="CB508" s="4"/>
      <c r="CC508" s="4"/>
      <c r="CD508" s="4"/>
      <c r="CE508" s="4"/>
      <c r="CF508" s="4"/>
    </row>
    <row r="509" spans="1:84" x14ac:dyDescent="0.3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S509" s="4"/>
      <c r="BT509" s="4"/>
      <c r="BU509" s="4"/>
      <c r="BV509" s="4"/>
      <c r="BW509" s="4"/>
      <c r="BX509" s="4"/>
      <c r="BY509" s="4"/>
      <c r="BZ509" s="4"/>
      <c r="CA509" s="4"/>
      <c r="CB509" s="4"/>
      <c r="CC509" s="4"/>
      <c r="CD509" s="4"/>
      <c r="CE509" s="4"/>
      <c r="CF509" s="4"/>
    </row>
    <row r="510" spans="1:84" x14ac:dyDescent="0.3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S510" s="4"/>
      <c r="BT510" s="4"/>
      <c r="BU510" s="4"/>
      <c r="BV510" s="4"/>
      <c r="BW510" s="4"/>
      <c r="BX510" s="4"/>
      <c r="BY510" s="4"/>
      <c r="BZ510" s="4"/>
      <c r="CA510" s="4"/>
      <c r="CB510" s="4"/>
      <c r="CC510" s="4"/>
      <c r="CD510" s="4"/>
      <c r="CE510" s="4"/>
      <c r="CF510" s="4"/>
    </row>
    <row r="511" spans="1:84" x14ac:dyDescent="0.3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S511" s="4"/>
      <c r="BT511" s="4"/>
      <c r="BU511" s="4"/>
      <c r="BV511" s="4"/>
      <c r="BW511" s="4"/>
      <c r="BX511" s="4"/>
      <c r="BY511" s="4"/>
      <c r="BZ511" s="4"/>
      <c r="CA511" s="4"/>
      <c r="CB511" s="4"/>
      <c r="CC511" s="4"/>
      <c r="CD511" s="4"/>
      <c r="CE511" s="4"/>
      <c r="CF511" s="4"/>
    </row>
    <row r="512" spans="1:84" x14ac:dyDescent="0.3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S512" s="4"/>
      <c r="BT512" s="4"/>
      <c r="BU512" s="4"/>
      <c r="BV512" s="4"/>
      <c r="BW512" s="4"/>
      <c r="BX512" s="4"/>
      <c r="BY512" s="4"/>
      <c r="BZ512" s="4"/>
      <c r="CA512" s="4"/>
      <c r="CB512" s="4"/>
      <c r="CC512" s="4"/>
      <c r="CD512" s="4"/>
      <c r="CE512" s="4"/>
      <c r="CF512" s="4"/>
    </row>
    <row r="513" spans="1:84" x14ac:dyDescent="0.3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S513" s="4"/>
      <c r="BT513" s="4"/>
      <c r="BU513" s="4"/>
      <c r="BV513" s="4"/>
      <c r="BW513" s="4"/>
      <c r="BX513" s="4"/>
      <c r="BY513" s="4"/>
      <c r="BZ513" s="4"/>
      <c r="CA513" s="4"/>
      <c r="CB513" s="4"/>
      <c r="CC513" s="4"/>
      <c r="CD513" s="4"/>
      <c r="CE513" s="4"/>
      <c r="CF513" s="4"/>
    </row>
    <row r="514" spans="1:84" x14ac:dyDescent="0.3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S514" s="4"/>
      <c r="BT514" s="4"/>
      <c r="BU514" s="4"/>
      <c r="BV514" s="4"/>
      <c r="BW514" s="4"/>
      <c r="BX514" s="4"/>
      <c r="BY514" s="4"/>
      <c r="BZ514" s="4"/>
      <c r="CA514" s="4"/>
      <c r="CB514" s="4"/>
      <c r="CC514" s="4"/>
      <c r="CD514" s="4"/>
      <c r="CE514" s="4"/>
      <c r="CF514" s="4"/>
    </row>
    <row r="515" spans="1:84" x14ac:dyDescent="0.3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S515" s="4"/>
      <c r="BT515" s="4"/>
      <c r="BU515" s="4"/>
      <c r="BV515" s="4"/>
      <c r="BW515" s="4"/>
      <c r="BX515" s="4"/>
      <c r="BY515" s="4"/>
      <c r="BZ515" s="4"/>
      <c r="CA515" s="4"/>
      <c r="CB515" s="4"/>
      <c r="CC515" s="4"/>
      <c r="CD515" s="4"/>
      <c r="CE515" s="4"/>
      <c r="CF515" s="4"/>
    </row>
    <row r="516" spans="1:84" x14ac:dyDescent="0.3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S516" s="4"/>
      <c r="BT516" s="4"/>
      <c r="BU516" s="4"/>
      <c r="BV516" s="4"/>
      <c r="BW516" s="4"/>
      <c r="BX516" s="4"/>
      <c r="BY516" s="4"/>
      <c r="BZ516" s="4"/>
      <c r="CA516" s="4"/>
      <c r="CB516" s="4"/>
      <c r="CC516" s="4"/>
      <c r="CD516" s="4"/>
      <c r="CE516" s="4"/>
      <c r="CF516" s="4"/>
    </row>
    <row r="517" spans="1:84" x14ac:dyDescent="0.3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S517" s="4"/>
      <c r="BT517" s="4"/>
      <c r="BU517" s="4"/>
      <c r="BV517" s="4"/>
      <c r="BW517" s="4"/>
      <c r="BX517" s="4"/>
      <c r="BY517" s="4"/>
      <c r="BZ517" s="4"/>
      <c r="CA517" s="4"/>
      <c r="CB517" s="4"/>
      <c r="CC517" s="4"/>
      <c r="CD517" s="4"/>
      <c r="CE517" s="4"/>
      <c r="CF517" s="4"/>
    </row>
    <row r="518" spans="1:84" x14ac:dyDescent="0.3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S518" s="4"/>
      <c r="BT518" s="4"/>
      <c r="BU518" s="4"/>
      <c r="BV518" s="4"/>
      <c r="BW518" s="4"/>
      <c r="BX518" s="4"/>
      <c r="BY518" s="4"/>
      <c r="BZ518" s="4"/>
      <c r="CA518" s="4"/>
      <c r="CB518" s="4"/>
      <c r="CC518" s="4"/>
      <c r="CD518" s="4"/>
      <c r="CE518" s="4"/>
      <c r="CF518" s="4"/>
    </row>
    <row r="519" spans="1:84" x14ac:dyDescent="0.3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S519" s="4"/>
      <c r="BT519" s="4"/>
      <c r="BU519" s="4"/>
      <c r="BV519" s="4"/>
      <c r="BW519" s="4"/>
      <c r="BX519" s="4"/>
      <c r="BY519" s="4"/>
      <c r="BZ519" s="4"/>
      <c r="CA519" s="4"/>
      <c r="CB519" s="4"/>
      <c r="CC519" s="4"/>
      <c r="CD519" s="4"/>
      <c r="CE519" s="4"/>
      <c r="CF519" s="4"/>
    </row>
    <row r="520" spans="1:84" x14ac:dyDescent="0.3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S520" s="4"/>
      <c r="BT520" s="4"/>
      <c r="BU520" s="4"/>
      <c r="BV520" s="4"/>
      <c r="BW520" s="4"/>
      <c r="BX520" s="4"/>
      <c r="BY520" s="4"/>
      <c r="BZ520" s="4"/>
      <c r="CA520" s="4"/>
      <c r="CB520" s="4"/>
      <c r="CC520" s="4"/>
      <c r="CD520" s="4"/>
      <c r="CE520" s="4"/>
      <c r="CF520" s="4"/>
    </row>
    <row r="521" spans="1:84" x14ac:dyDescent="0.3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S521" s="4"/>
      <c r="BT521" s="4"/>
      <c r="BU521" s="4"/>
      <c r="BV521" s="4"/>
      <c r="BW521" s="4"/>
      <c r="BX521" s="4"/>
      <c r="BY521" s="4"/>
      <c r="BZ521" s="4"/>
      <c r="CA521" s="4"/>
      <c r="CB521" s="4"/>
      <c r="CC521" s="4"/>
      <c r="CD521" s="4"/>
      <c r="CE521" s="4"/>
      <c r="CF521" s="4"/>
    </row>
    <row r="522" spans="1:84" x14ac:dyDescent="0.3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S522" s="4"/>
      <c r="BT522" s="4"/>
      <c r="BU522" s="4"/>
      <c r="BV522" s="4"/>
      <c r="BW522" s="4"/>
      <c r="BX522" s="4"/>
      <c r="BY522" s="4"/>
      <c r="BZ522" s="4"/>
      <c r="CA522" s="4"/>
      <c r="CB522" s="4"/>
      <c r="CC522" s="4"/>
      <c r="CD522" s="4"/>
      <c r="CE522" s="4"/>
      <c r="CF522" s="4"/>
    </row>
    <row r="523" spans="1:84" x14ac:dyDescent="0.3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S523" s="4"/>
      <c r="BT523" s="4"/>
      <c r="BU523" s="4"/>
      <c r="BV523" s="4"/>
      <c r="BW523" s="4"/>
      <c r="BX523" s="4"/>
      <c r="BY523" s="4"/>
      <c r="BZ523" s="4"/>
      <c r="CA523" s="4"/>
      <c r="CB523" s="4"/>
      <c r="CC523" s="4"/>
      <c r="CD523" s="4"/>
      <c r="CE523" s="4"/>
      <c r="CF523" s="4"/>
    </row>
    <row r="524" spans="1:84" x14ac:dyDescent="0.3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S524" s="4"/>
      <c r="BT524" s="4"/>
      <c r="BU524" s="4"/>
      <c r="BV524" s="4"/>
      <c r="BW524" s="4"/>
      <c r="BX524" s="4"/>
      <c r="BY524" s="4"/>
      <c r="BZ524" s="4"/>
      <c r="CA524" s="4"/>
      <c r="CB524" s="4"/>
      <c r="CC524" s="4"/>
      <c r="CD524" s="4"/>
      <c r="CE524" s="4"/>
      <c r="CF524" s="4"/>
    </row>
    <row r="525" spans="1:84" x14ac:dyDescent="0.3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S525" s="4"/>
      <c r="BT525" s="4"/>
      <c r="BU525" s="4"/>
      <c r="BV525" s="4"/>
      <c r="BW525" s="4"/>
      <c r="BX525" s="4"/>
      <c r="BY525" s="4"/>
      <c r="BZ525" s="4"/>
      <c r="CA525" s="4"/>
      <c r="CB525" s="4"/>
      <c r="CC525" s="4"/>
      <c r="CD525" s="4"/>
      <c r="CE525" s="4"/>
      <c r="CF525" s="4"/>
    </row>
    <row r="526" spans="1:84" x14ac:dyDescent="0.3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S526" s="4"/>
      <c r="BT526" s="4"/>
      <c r="BU526" s="4"/>
      <c r="BV526" s="4"/>
      <c r="BW526" s="4"/>
      <c r="BX526" s="4"/>
      <c r="BY526" s="4"/>
      <c r="BZ526" s="4"/>
      <c r="CA526" s="4"/>
      <c r="CB526" s="4"/>
      <c r="CC526" s="4"/>
      <c r="CD526" s="4"/>
      <c r="CE526" s="4"/>
      <c r="CF526" s="4"/>
    </row>
    <row r="527" spans="1:84" x14ac:dyDescent="0.3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S527" s="4"/>
      <c r="BT527" s="4"/>
      <c r="BU527" s="4"/>
      <c r="BV527" s="4"/>
      <c r="BW527" s="4"/>
      <c r="BX527" s="4"/>
      <c r="BY527" s="4"/>
      <c r="BZ527" s="4"/>
      <c r="CA527" s="4"/>
      <c r="CB527" s="4"/>
      <c r="CC527" s="4"/>
      <c r="CD527" s="4"/>
      <c r="CE527" s="4"/>
      <c r="CF527" s="4"/>
    </row>
    <row r="528" spans="1:84" x14ac:dyDescent="0.3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S528" s="4"/>
      <c r="BT528" s="4"/>
      <c r="BU528" s="4"/>
      <c r="BV528" s="4"/>
      <c r="BW528" s="4"/>
      <c r="BX528" s="4"/>
      <c r="BY528" s="4"/>
      <c r="BZ528" s="4"/>
      <c r="CA528" s="4"/>
      <c r="CB528" s="4"/>
      <c r="CC528" s="4"/>
      <c r="CD528" s="4"/>
      <c r="CE528" s="4"/>
      <c r="CF528" s="4"/>
    </row>
    <row r="529" spans="1:84" x14ac:dyDescent="0.3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S529" s="4"/>
      <c r="BT529" s="4"/>
      <c r="BU529" s="4"/>
      <c r="BV529" s="4"/>
      <c r="BW529" s="4"/>
      <c r="BX529" s="4"/>
      <c r="BY529" s="4"/>
      <c r="BZ529" s="4"/>
      <c r="CA529" s="4"/>
      <c r="CB529" s="4"/>
      <c r="CC529" s="4"/>
      <c r="CD529" s="4"/>
      <c r="CE529" s="4"/>
      <c r="CF529" s="4"/>
    </row>
    <row r="530" spans="1:84" x14ac:dyDescent="0.3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S530" s="4"/>
      <c r="BT530" s="4"/>
      <c r="BU530" s="4"/>
      <c r="BV530" s="4"/>
      <c r="BW530" s="4"/>
      <c r="BX530" s="4"/>
      <c r="BY530" s="4"/>
      <c r="BZ530" s="4"/>
      <c r="CA530" s="4"/>
      <c r="CB530" s="4"/>
      <c r="CC530" s="4"/>
      <c r="CD530" s="4"/>
      <c r="CE530" s="4"/>
      <c r="CF530" s="4"/>
    </row>
    <row r="531" spans="1:84" x14ac:dyDescent="0.3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S531" s="4"/>
      <c r="BT531" s="4"/>
      <c r="BU531" s="4"/>
      <c r="BV531" s="4"/>
      <c r="BW531" s="4"/>
      <c r="BX531" s="4"/>
      <c r="BY531" s="4"/>
      <c r="BZ531" s="4"/>
      <c r="CA531" s="4"/>
      <c r="CB531" s="4"/>
      <c r="CC531" s="4"/>
      <c r="CD531" s="4"/>
      <c r="CE531" s="4"/>
      <c r="CF531" s="4"/>
    </row>
    <row r="532" spans="1:84" x14ac:dyDescent="0.3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S532" s="4"/>
      <c r="BT532" s="4"/>
      <c r="BU532" s="4"/>
      <c r="BV532" s="4"/>
      <c r="BW532" s="4"/>
      <c r="BX532" s="4"/>
      <c r="BY532" s="4"/>
      <c r="BZ532" s="4"/>
      <c r="CA532" s="4"/>
      <c r="CB532" s="4"/>
      <c r="CC532" s="4"/>
      <c r="CD532" s="4"/>
      <c r="CE532" s="4"/>
      <c r="CF532" s="4"/>
    </row>
    <row r="533" spans="1:84" x14ac:dyDescent="0.3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S533" s="4"/>
      <c r="BT533" s="4"/>
      <c r="BU533" s="4"/>
      <c r="BV533" s="4"/>
      <c r="BW533" s="4"/>
      <c r="BX533" s="4"/>
      <c r="BY533" s="4"/>
      <c r="BZ533" s="4"/>
      <c r="CA533" s="4"/>
      <c r="CB533" s="4"/>
      <c r="CC533" s="4"/>
      <c r="CD533" s="4"/>
      <c r="CE533" s="4"/>
      <c r="CF533" s="4"/>
    </row>
    <row r="534" spans="1:84" x14ac:dyDescent="0.3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S534" s="4"/>
      <c r="BT534" s="4"/>
      <c r="BU534" s="4"/>
      <c r="BV534" s="4"/>
      <c r="BW534" s="4"/>
      <c r="BX534" s="4"/>
      <c r="BY534" s="4"/>
      <c r="BZ534" s="4"/>
      <c r="CA534" s="4"/>
      <c r="CB534" s="4"/>
      <c r="CC534" s="4"/>
      <c r="CD534" s="4"/>
      <c r="CE534" s="4"/>
      <c r="CF534" s="4"/>
    </row>
    <row r="535" spans="1:84" x14ac:dyDescent="0.3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S535" s="4"/>
      <c r="BT535" s="4"/>
      <c r="BU535" s="4"/>
      <c r="BV535" s="4"/>
      <c r="BW535" s="4"/>
      <c r="BX535" s="4"/>
      <c r="BY535" s="4"/>
      <c r="BZ535" s="4"/>
      <c r="CA535" s="4"/>
      <c r="CB535" s="4"/>
      <c r="CC535" s="4"/>
      <c r="CD535" s="4"/>
      <c r="CE535" s="4"/>
      <c r="CF535" s="4"/>
    </row>
    <row r="536" spans="1:84" x14ac:dyDescent="0.3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S536" s="4"/>
      <c r="BT536" s="4"/>
      <c r="BU536" s="4"/>
      <c r="BV536" s="4"/>
      <c r="BW536" s="4"/>
      <c r="BX536" s="4"/>
      <c r="BY536" s="4"/>
      <c r="BZ536" s="4"/>
      <c r="CA536" s="4"/>
      <c r="CB536" s="4"/>
      <c r="CC536" s="4"/>
      <c r="CD536" s="4"/>
      <c r="CE536" s="4"/>
      <c r="CF536" s="4"/>
    </row>
    <row r="537" spans="1:84" x14ac:dyDescent="0.3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S537" s="4"/>
      <c r="BT537" s="4"/>
      <c r="BU537" s="4"/>
      <c r="BV537" s="4"/>
      <c r="BW537" s="4"/>
      <c r="BX537" s="4"/>
      <c r="BY537" s="4"/>
      <c r="BZ537" s="4"/>
      <c r="CA537" s="4"/>
      <c r="CB537" s="4"/>
      <c r="CC537" s="4"/>
      <c r="CD537" s="4"/>
      <c r="CE537" s="4"/>
      <c r="CF537" s="4"/>
    </row>
    <row r="538" spans="1:84" x14ac:dyDescent="0.3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S538" s="4"/>
      <c r="BT538" s="4"/>
      <c r="BU538" s="4"/>
      <c r="BV538" s="4"/>
      <c r="BW538" s="4"/>
      <c r="BX538" s="4"/>
      <c r="BY538" s="4"/>
      <c r="BZ538" s="4"/>
      <c r="CA538" s="4"/>
      <c r="CB538" s="4"/>
      <c r="CC538" s="4"/>
      <c r="CD538" s="4"/>
      <c r="CE538" s="4"/>
      <c r="CF538" s="4"/>
    </row>
    <row r="539" spans="1:84" x14ac:dyDescent="0.3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S539" s="4"/>
      <c r="BT539" s="4"/>
      <c r="BU539" s="4"/>
      <c r="BV539" s="4"/>
      <c r="BW539" s="4"/>
      <c r="BX539" s="4"/>
      <c r="BY539" s="4"/>
      <c r="BZ539" s="4"/>
      <c r="CA539" s="4"/>
      <c r="CB539" s="4"/>
      <c r="CC539" s="4"/>
      <c r="CD539" s="4"/>
      <c r="CE539" s="4"/>
      <c r="CF539" s="4"/>
    </row>
    <row r="540" spans="1:84" x14ac:dyDescent="0.3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S540" s="4"/>
      <c r="BT540" s="4"/>
      <c r="BU540" s="4"/>
      <c r="BV540" s="4"/>
      <c r="BW540" s="4"/>
      <c r="BX540" s="4"/>
      <c r="BY540" s="4"/>
      <c r="BZ540" s="4"/>
      <c r="CA540" s="4"/>
      <c r="CB540" s="4"/>
      <c r="CC540" s="4"/>
      <c r="CD540" s="4"/>
      <c r="CE540" s="4"/>
      <c r="CF540" s="4"/>
    </row>
    <row r="541" spans="1:84" x14ac:dyDescent="0.3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S541" s="4"/>
      <c r="BT541" s="4"/>
      <c r="BU541" s="4"/>
      <c r="BV541" s="4"/>
      <c r="BW541" s="4"/>
      <c r="BX541" s="4"/>
      <c r="BY541" s="4"/>
      <c r="BZ541" s="4"/>
      <c r="CA541" s="4"/>
      <c r="CB541" s="4"/>
      <c r="CC541" s="4"/>
      <c r="CD541" s="4"/>
      <c r="CE541" s="4"/>
      <c r="CF541" s="4"/>
    </row>
    <row r="542" spans="1:84" x14ac:dyDescent="0.3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S542" s="4"/>
      <c r="BT542" s="4"/>
      <c r="BU542" s="4"/>
      <c r="BV542" s="4"/>
      <c r="BW542" s="4"/>
      <c r="BX542" s="4"/>
      <c r="BY542" s="4"/>
      <c r="BZ542" s="4"/>
      <c r="CA542" s="4"/>
      <c r="CB542" s="4"/>
      <c r="CC542" s="4"/>
      <c r="CD542" s="4"/>
      <c r="CE542" s="4"/>
      <c r="CF542" s="4"/>
    </row>
    <row r="543" spans="1:84" x14ac:dyDescent="0.3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S543" s="4"/>
      <c r="BT543" s="4"/>
      <c r="BU543" s="4"/>
      <c r="BV543" s="4"/>
      <c r="BW543" s="4"/>
      <c r="BX543" s="4"/>
      <c r="BY543" s="4"/>
      <c r="BZ543" s="4"/>
      <c r="CA543" s="4"/>
      <c r="CB543" s="4"/>
      <c r="CC543" s="4"/>
      <c r="CD543" s="4"/>
      <c r="CE543" s="4"/>
      <c r="CF543" s="4"/>
    </row>
    <row r="544" spans="1:84" x14ac:dyDescent="0.3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S544" s="4"/>
      <c r="BT544" s="4"/>
      <c r="BU544" s="4"/>
      <c r="BV544" s="4"/>
      <c r="BW544" s="4"/>
      <c r="BX544" s="4"/>
      <c r="BY544" s="4"/>
      <c r="BZ544" s="4"/>
      <c r="CA544" s="4"/>
      <c r="CB544" s="4"/>
      <c r="CC544" s="4"/>
      <c r="CD544" s="4"/>
      <c r="CE544" s="4"/>
      <c r="CF544" s="4"/>
    </row>
    <row r="545" spans="1:84" x14ac:dyDescent="0.3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S545" s="4"/>
      <c r="BT545" s="4"/>
      <c r="BU545" s="4"/>
      <c r="BV545" s="4"/>
      <c r="BW545" s="4"/>
      <c r="BX545" s="4"/>
      <c r="BY545" s="4"/>
      <c r="BZ545" s="4"/>
      <c r="CA545" s="4"/>
      <c r="CB545" s="4"/>
      <c r="CC545" s="4"/>
      <c r="CD545" s="4"/>
      <c r="CE545" s="4"/>
      <c r="CF545" s="4"/>
    </row>
    <row r="546" spans="1:84" x14ac:dyDescent="0.3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S546" s="4"/>
      <c r="BT546" s="4"/>
      <c r="BU546" s="4"/>
      <c r="BV546" s="4"/>
      <c r="BW546" s="4"/>
      <c r="BX546" s="4"/>
      <c r="BY546" s="4"/>
      <c r="BZ546" s="4"/>
      <c r="CA546" s="4"/>
      <c r="CB546" s="4"/>
      <c r="CC546" s="4"/>
      <c r="CD546" s="4"/>
      <c r="CE546" s="4"/>
      <c r="CF546" s="4"/>
    </row>
    <row r="547" spans="1:84" x14ac:dyDescent="0.3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S547" s="4"/>
      <c r="BT547" s="4"/>
      <c r="BU547" s="4"/>
      <c r="BV547" s="4"/>
      <c r="BW547" s="4"/>
      <c r="BX547" s="4"/>
      <c r="BY547" s="4"/>
      <c r="BZ547" s="4"/>
      <c r="CA547" s="4"/>
      <c r="CB547" s="4"/>
      <c r="CC547" s="4"/>
      <c r="CD547" s="4"/>
      <c r="CE547" s="4"/>
      <c r="CF547" s="4"/>
    </row>
    <row r="548" spans="1:84" x14ac:dyDescent="0.3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S548" s="4"/>
      <c r="BT548" s="4"/>
      <c r="BU548" s="4"/>
      <c r="BV548" s="4"/>
      <c r="BW548" s="4"/>
      <c r="BX548" s="4"/>
      <c r="BY548" s="4"/>
      <c r="BZ548" s="4"/>
      <c r="CA548" s="4"/>
      <c r="CB548" s="4"/>
      <c r="CC548" s="4"/>
      <c r="CD548" s="4"/>
      <c r="CE548" s="4"/>
      <c r="CF548" s="4"/>
    </row>
    <row r="549" spans="1:84" x14ac:dyDescent="0.3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S549" s="4"/>
      <c r="BT549" s="4"/>
      <c r="BU549" s="4"/>
      <c r="BV549" s="4"/>
      <c r="BW549" s="4"/>
      <c r="BX549" s="4"/>
      <c r="BY549" s="4"/>
      <c r="BZ549" s="4"/>
      <c r="CA549" s="4"/>
      <c r="CB549" s="4"/>
      <c r="CC549" s="4"/>
      <c r="CD549" s="4"/>
      <c r="CE549" s="4"/>
      <c r="CF549" s="4"/>
    </row>
    <row r="550" spans="1:84" x14ac:dyDescent="0.3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S550" s="4"/>
      <c r="BT550" s="4"/>
      <c r="BU550" s="4"/>
      <c r="BV550" s="4"/>
      <c r="BW550" s="4"/>
      <c r="BX550" s="4"/>
      <c r="BY550" s="4"/>
      <c r="BZ550" s="4"/>
      <c r="CA550" s="4"/>
      <c r="CB550" s="4"/>
      <c r="CC550" s="4"/>
      <c r="CD550" s="4"/>
      <c r="CE550" s="4"/>
      <c r="CF550" s="4"/>
    </row>
    <row r="551" spans="1:84" x14ac:dyDescent="0.3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S551" s="4"/>
      <c r="BT551" s="4"/>
      <c r="BU551" s="4"/>
      <c r="BV551" s="4"/>
      <c r="BW551" s="4"/>
      <c r="BX551" s="4"/>
      <c r="BY551" s="4"/>
      <c r="BZ551" s="4"/>
      <c r="CA551" s="4"/>
      <c r="CB551" s="4"/>
      <c r="CC551" s="4"/>
      <c r="CD551" s="4"/>
      <c r="CE551" s="4"/>
      <c r="CF551" s="4"/>
    </row>
    <row r="552" spans="1:84" x14ac:dyDescent="0.3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S552" s="4"/>
      <c r="BT552" s="4"/>
      <c r="BU552" s="4"/>
      <c r="BV552" s="4"/>
      <c r="BW552" s="4"/>
      <c r="BX552" s="4"/>
      <c r="BY552" s="4"/>
      <c r="BZ552" s="4"/>
      <c r="CA552" s="4"/>
      <c r="CB552" s="4"/>
      <c r="CC552" s="4"/>
      <c r="CD552" s="4"/>
      <c r="CE552" s="4"/>
      <c r="CF552" s="4"/>
    </row>
    <row r="553" spans="1:84" x14ac:dyDescent="0.3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S553" s="4"/>
      <c r="BT553" s="4"/>
      <c r="BU553" s="4"/>
      <c r="BV553" s="4"/>
      <c r="BW553" s="4"/>
      <c r="BX553" s="4"/>
      <c r="BY553" s="4"/>
      <c r="BZ553" s="4"/>
      <c r="CA553" s="4"/>
      <c r="CB553" s="4"/>
      <c r="CC553" s="4"/>
      <c r="CD553" s="4"/>
      <c r="CE553" s="4"/>
      <c r="CF553" s="4"/>
    </row>
    <row r="554" spans="1:84" x14ac:dyDescent="0.3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S554" s="4"/>
      <c r="BT554" s="4"/>
      <c r="BU554" s="4"/>
      <c r="BV554" s="4"/>
      <c r="BW554" s="4"/>
      <c r="BX554" s="4"/>
      <c r="BY554" s="4"/>
      <c r="BZ554" s="4"/>
      <c r="CA554" s="4"/>
      <c r="CB554" s="4"/>
      <c r="CC554" s="4"/>
      <c r="CD554" s="4"/>
      <c r="CE554" s="4"/>
      <c r="CF554" s="4"/>
    </row>
    <row r="555" spans="1:84" x14ac:dyDescent="0.3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S555" s="4"/>
      <c r="BT555" s="4"/>
      <c r="BU555" s="4"/>
      <c r="BV555" s="4"/>
      <c r="BW555" s="4"/>
      <c r="BX555" s="4"/>
      <c r="BY555" s="4"/>
      <c r="BZ555" s="4"/>
      <c r="CA555" s="4"/>
      <c r="CB555" s="4"/>
      <c r="CC555" s="4"/>
      <c r="CD555" s="4"/>
      <c r="CE555" s="4"/>
      <c r="CF555" s="4"/>
    </row>
    <row r="556" spans="1:84" x14ac:dyDescent="0.3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S556" s="4"/>
      <c r="BT556" s="4"/>
      <c r="BU556" s="4"/>
      <c r="BV556" s="4"/>
      <c r="BW556" s="4"/>
      <c r="BX556" s="4"/>
      <c r="BY556" s="4"/>
      <c r="BZ556" s="4"/>
      <c r="CA556" s="4"/>
      <c r="CB556" s="4"/>
      <c r="CC556" s="4"/>
      <c r="CD556" s="4"/>
      <c r="CE556" s="4"/>
      <c r="CF556" s="4"/>
    </row>
    <row r="557" spans="1:84" x14ac:dyDescent="0.3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S557" s="4"/>
      <c r="BT557" s="4"/>
      <c r="BU557" s="4"/>
      <c r="BV557" s="4"/>
      <c r="BW557" s="4"/>
      <c r="BX557" s="4"/>
      <c r="BY557" s="4"/>
      <c r="BZ557" s="4"/>
      <c r="CA557" s="4"/>
      <c r="CB557" s="4"/>
      <c r="CC557" s="4"/>
      <c r="CD557" s="4"/>
      <c r="CE557" s="4"/>
      <c r="CF557" s="4"/>
    </row>
    <row r="558" spans="1:84" x14ac:dyDescent="0.3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S558" s="4"/>
      <c r="BT558" s="4"/>
      <c r="BU558" s="4"/>
      <c r="BV558" s="4"/>
      <c r="BW558" s="4"/>
      <c r="BX558" s="4"/>
      <c r="BY558" s="4"/>
      <c r="BZ558" s="4"/>
      <c r="CA558" s="4"/>
      <c r="CB558" s="4"/>
      <c r="CC558" s="4"/>
      <c r="CD558" s="4"/>
      <c r="CE558" s="4"/>
      <c r="CF558" s="4"/>
    </row>
    <row r="559" spans="1:84" x14ac:dyDescent="0.3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S559" s="4"/>
      <c r="BT559" s="4"/>
      <c r="BU559" s="4"/>
      <c r="BV559" s="4"/>
      <c r="BW559" s="4"/>
      <c r="BX559" s="4"/>
      <c r="BY559" s="4"/>
      <c r="BZ559" s="4"/>
      <c r="CA559" s="4"/>
      <c r="CB559" s="4"/>
      <c r="CC559" s="4"/>
      <c r="CD559" s="4"/>
      <c r="CE559" s="4"/>
      <c r="CF559" s="4"/>
    </row>
    <row r="560" spans="1:84" x14ac:dyDescent="0.3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S560" s="4"/>
      <c r="BT560" s="4"/>
      <c r="BU560" s="4"/>
      <c r="BV560" s="4"/>
      <c r="BW560" s="4"/>
      <c r="BX560" s="4"/>
      <c r="BY560" s="4"/>
      <c r="BZ560" s="4"/>
      <c r="CA560" s="4"/>
      <c r="CB560" s="4"/>
      <c r="CC560" s="4"/>
      <c r="CD560" s="4"/>
      <c r="CE560" s="4"/>
      <c r="CF560" s="4"/>
    </row>
    <row r="561" spans="1:84" x14ac:dyDescent="0.3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S561" s="4"/>
      <c r="BT561" s="4"/>
      <c r="BU561" s="4"/>
      <c r="BV561" s="4"/>
      <c r="BW561" s="4"/>
      <c r="BX561" s="4"/>
      <c r="BY561" s="4"/>
      <c r="BZ561" s="4"/>
      <c r="CA561" s="4"/>
      <c r="CB561" s="4"/>
      <c r="CC561" s="4"/>
      <c r="CD561" s="4"/>
      <c r="CE561" s="4"/>
      <c r="CF561" s="4"/>
    </row>
    <row r="562" spans="1:84" x14ac:dyDescent="0.3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S562" s="4"/>
      <c r="BT562" s="4"/>
      <c r="BU562" s="4"/>
      <c r="BV562" s="4"/>
      <c r="BW562" s="4"/>
      <c r="BX562" s="4"/>
      <c r="BY562" s="4"/>
      <c r="BZ562" s="4"/>
      <c r="CA562" s="4"/>
      <c r="CB562" s="4"/>
      <c r="CC562" s="4"/>
      <c r="CD562" s="4"/>
      <c r="CE562" s="4"/>
      <c r="CF562" s="4"/>
    </row>
    <row r="563" spans="1:84" x14ac:dyDescent="0.3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S563" s="4"/>
      <c r="BT563" s="4"/>
      <c r="BU563" s="4"/>
      <c r="BV563" s="4"/>
      <c r="BW563" s="4"/>
      <c r="BX563" s="4"/>
      <c r="BY563" s="4"/>
      <c r="BZ563" s="4"/>
      <c r="CA563" s="4"/>
      <c r="CB563" s="4"/>
      <c r="CC563" s="4"/>
      <c r="CD563" s="4"/>
      <c r="CE563" s="4"/>
      <c r="CF563" s="4"/>
    </row>
    <row r="564" spans="1:84" x14ac:dyDescent="0.3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S564" s="4"/>
      <c r="BT564" s="4"/>
      <c r="BU564" s="4"/>
      <c r="BV564" s="4"/>
      <c r="BW564" s="4"/>
      <c r="BX564" s="4"/>
      <c r="BY564" s="4"/>
      <c r="BZ564" s="4"/>
      <c r="CA564" s="4"/>
      <c r="CB564" s="4"/>
      <c r="CC564" s="4"/>
      <c r="CD564" s="4"/>
      <c r="CE564" s="4"/>
      <c r="CF564" s="4"/>
    </row>
    <row r="565" spans="1:84" x14ac:dyDescent="0.3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S565" s="4"/>
      <c r="BT565" s="4"/>
      <c r="BU565" s="4"/>
      <c r="BV565" s="4"/>
      <c r="BW565" s="4"/>
      <c r="BX565" s="4"/>
      <c r="BY565" s="4"/>
      <c r="BZ565" s="4"/>
      <c r="CA565" s="4"/>
      <c r="CB565" s="4"/>
      <c r="CC565" s="4"/>
      <c r="CD565" s="4"/>
      <c r="CE565" s="4"/>
      <c r="CF565" s="4"/>
    </row>
    <row r="566" spans="1:84" x14ac:dyDescent="0.3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S566" s="4"/>
      <c r="BT566" s="4"/>
      <c r="BU566" s="4"/>
      <c r="BV566" s="4"/>
      <c r="BW566" s="4"/>
      <c r="BX566" s="4"/>
      <c r="BY566" s="4"/>
      <c r="BZ566" s="4"/>
      <c r="CA566" s="4"/>
      <c r="CB566" s="4"/>
      <c r="CC566" s="4"/>
      <c r="CD566" s="4"/>
      <c r="CE566" s="4"/>
      <c r="CF566" s="4"/>
    </row>
    <row r="567" spans="1:84" x14ac:dyDescent="0.3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S567" s="4"/>
      <c r="BT567" s="4"/>
      <c r="BU567" s="4"/>
      <c r="BV567" s="4"/>
      <c r="BW567" s="4"/>
      <c r="BX567" s="4"/>
      <c r="BY567" s="4"/>
      <c r="BZ567" s="4"/>
      <c r="CA567" s="4"/>
      <c r="CB567" s="4"/>
      <c r="CC567" s="4"/>
      <c r="CD567" s="4"/>
      <c r="CE567" s="4"/>
      <c r="CF567" s="4"/>
    </row>
    <row r="568" spans="1:84" x14ac:dyDescent="0.3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S568" s="4"/>
      <c r="BT568" s="4"/>
      <c r="BU568" s="4"/>
      <c r="BV568" s="4"/>
      <c r="BW568" s="4"/>
      <c r="BX568" s="4"/>
      <c r="BY568" s="4"/>
      <c r="BZ568" s="4"/>
      <c r="CA568" s="4"/>
      <c r="CB568" s="4"/>
      <c r="CC568" s="4"/>
      <c r="CD568" s="4"/>
      <c r="CE568" s="4"/>
      <c r="CF568" s="4"/>
    </row>
    <row r="569" spans="1:84" x14ac:dyDescent="0.3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S569" s="4"/>
      <c r="BT569" s="4"/>
      <c r="BU569" s="4"/>
      <c r="BV569" s="4"/>
      <c r="BW569" s="4"/>
      <c r="BX569" s="4"/>
      <c r="BY569" s="4"/>
      <c r="BZ569" s="4"/>
      <c r="CA569" s="4"/>
      <c r="CB569" s="4"/>
      <c r="CC569" s="4"/>
      <c r="CD569" s="4"/>
      <c r="CE569" s="4"/>
      <c r="CF569" s="4"/>
    </row>
    <row r="570" spans="1:84" x14ac:dyDescent="0.3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S570" s="4"/>
      <c r="BT570" s="4"/>
      <c r="BU570" s="4"/>
      <c r="BV570" s="4"/>
      <c r="BW570" s="4"/>
      <c r="BX570" s="4"/>
      <c r="BY570" s="4"/>
      <c r="BZ570" s="4"/>
      <c r="CA570" s="4"/>
      <c r="CB570" s="4"/>
      <c r="CC570" s="4"/>
      <c r="CD570" s="4"/>
      <c r="CE570" s="4"/>
      <c r="CF570" s="4"/>
    </row>
    <row r="571" spans="1:84" x14ac:dyDescent="0.3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S571" s="4"/>
      <c r="BT571" s="4"/>
      <c r="BU571" s="4"/>
      <c r="BV571" s="4"/>
      <c r="BW571" s="4"/>
      <c r="BX571" s="4"/>
      <c r="BY571" s="4"/>
      <c r="BZ571" s="4"/>
      <c r="CA571" s="4"/>
      <c r="CB571" s="4"/>
      <c r="CC571" s="4"/>
      <c r="CD571" s="4"/>
      <c r="CE571" s="4"/>
      <c r="CF571" s="4"/>
    </row>
    <row r="572" spans="1:84" x14ac:dyDescent="0.3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S572" s="4"/>
      <c r="BT572" s="4"/>
      <c r="BU572" s="4"/>
      <c r="BV572" s="4"/>
      <c r="BW572" s="4"/>
      <c r="BX572" s="4"/>
      <c r="BY572" s="4"/>
      <c r="BZ572" s="4"/>
      <c r="CA572" s="4"/>
      <c r="CB572" s="4"/>
      <c r="CC572" s="4"/>
      <c r="CD572" s="4"/>
      <c r="CE572" s="4"/>
      <c r="CF572" s="4"/>
    </row>
    <row r="573" spans="1:84" x14ac:dyDescent="0.3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S573" s="4"/>
      <c r="BT573" s="4"/>
      <c r="BU573" s="4"/>
      <c r="BV573" s="4"/>
      <c r="BW573" s="4"/>
      <c r="BX573" s="4"/>
      <c r="BY573" s="4"/>
      <c r="BZ573" s="4"/>
      <c r="CA573" s="4"/>
      <c r="CB573" s="4"/>
      <c r="CC573" s="4"/>
      <c r="CD573" s="4"/>
      <c r="CE573" s="4"/>
      <c r="CF573" s="4"/>
    </row>
    <row r="574" spans="1:84" x14ac:dyDescent="0.3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S574" s="4"/>
      <c r="BT574" s="4"/>
      <c r="BU574" s="4"/>
      <c r="BV574" s="4"/>
      <c r="BW574" s="4"/>
      <c r="BX574" s="4"/>
      <c r="BY574" s="4"/>
      <c r="BZ574" s="4"/>
      <c r="CA574" s="4"/>
      <c r="CB574" s="4"/>
      <c r="CC574" s="4"/>
      <c r="CD574" s="4"/>
      <c r="CE574" s="4"/>
      <c r="CF574" s="4"/>
    </row>
    <row r="575" spans="1:84" x14ac:dyDescent="0.3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S575" s="4"/>
      <c r="BT575" s="4"/>
      <c r="BU575" s="4"/>
      <c r="BV575" s="4"/>
      <c r="BW575" s="4"/>
      <c r="BX575" s="4"/>
      <c r="BY575" s="4"/>
      <c r="BZ575" s="4"/>
      <c r="CA575" s="4"/>
      <c r="CB575" s="4"/>
      <c r="CC575" s="4"/>
      <c r="CD575" s="4"/>
      <c r="CE575" s="4"/>
      <c r="CF575" s="4"/>
    </row>
    <row r="576" spans="1:84" x14ac:dyDescent="0.3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S576" s="4"/>
      <c r="BT576" s="4"/>
      <c r="BU576" s="4"/>
      <c r="BV576" s="4"/>
      <c r="BW576" s="4"/>
      <c r="BX576" s="4"/>
      <c r="BY576" s="4"/>
      <c r="BZ576" s="4"/>
      <c r="CA576" s="4"/>
      <c r="CB576" s="4"/>
      <c r="CC576" s="4"/>
      <c r="CD576" s="4"/>
      <c r="CE576" s="4"/>
      <c r="CF576" s="4"/>
    </row>
    <row r="577" spans="1:84" x14ac:dyDescent="0.3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S577" s="4"/>
      <c r="BT577" s="4"/>
      <c r="BU577" s="4"/>
      <c r="BV577" s="4"/>
      <c r="BW577" s="4"/>
      <c r="BX577" s="4"/>
      <c r="BY577" s="4"/>
      <c r="BZ577" s="4"/>
      <c r="CA577" s="4"/>
      <c r="CB577" s="4"/>
      <c r="CC577" s="4"/>
      <c r="CD577" s="4"/>
      <c r="CE577" s="4"/>
      <c r="CF577" s="4"/>
    </row>
    <row r="578" spans="1:84" x14ac:dyDescent="0.3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S578" s="4"/>
      <c r="BT578" s="4"/>
      <c r="BU578" s="4"/>
      <c r="BV578" s="4"/>
      <c r="BW578" s="4"/>
      <c r="BX578" s="4"/>
      <c r="BY578" s="4"/>
      <c r="BZ578" s="4"/>
      <c r="CA578" s="4"/>
      <c r="CB578" s="4"/>
      <c r="CC578" s="4"/>
      <c r="CD578" s="4"/>
      <c r="CE578" s="4"/>
      <c r="CF578" s="4"/>
    </row>
    <row r="579" spans="1:84" x14ac:dyDescent="0.3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S579" s="4"/>
      <c r="BT579" s="4"/>
      <c r="BU579" s="4"/>
      <c r="BV579" s="4"/>
      <c r="BW579" s="4"/>
      <c r="BX579" s="4"/>
      <c r="BY579" s="4"/>
      <c r="BZ579" s="4"/>
      <c r="CA579" s="4"/>
      <c r="CB579" s="4"/>
      <c r="CC579" s="4"/>
      <c r="CD579" s="4"/>
      <c r="CE579" s="4"/>
      <c r="CF579" s="4"/>
    </row>
    <row r="580" spans="1:84" x14ac:dyDescent="0.3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S580" s="4"/>
      <c r="BT580" s="4"/>
      <c r="BU580" s="4"/>
      <c r="BV580" s="4"/>
      <c r="BW580" s="4"/>
      <c r="BX580" s="4"/>
      <c r="BY580" s="4"/>
      <c r="BZ580" s="4"/>
      <c r="CA580" s="4"/>
      <c r="CB580" s="4"/>
      <c r="CC580" s="4"/>
      <c r="CD580" s="4"/>
      <c r="CE580" s="4"/>
      <c r="CF580" s="4"/>
    </row>
    <row r="581" spans="1:84" x14ac:dyDescent="0.3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S581" s="4"/>
      <c r="BT581" s="4"/>
      <c r="BU581" s="4"/>
      <c r="BV581" s="4"/>
      <c r="BW581" s="4"/>
      <c r="BX581" s="4"/>
      <c r="BY581" s="4"/>
      <c r="BZ581" s="4"/>
      <c r="CA581" s="4"/>
      <c r="CB581" s="4"/>
      <c r="CC581" s="4"/>
      <c r="CD581" s="4"/>
      <c r="CE581" s="4"/>
      <c r="CF581" s="4"/>
    </row>
    <row r="582" spans="1:84" x14ac:dyDescent="0.3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S582" s="4"/>
      <c r="BT582" s="4"/>
      <c r="BU582" s="4"/>
      <c r="BV582" s="4"/>
      <c r="BW582" s="4"/>
      <c r="BX582" s="4"/>
      <c r="BY582" s="4"/>
      <c r="BZ582" s="4"/>
      <c r="CA582" s="4"/>
      <c r="CB582" s="4"/>
      <c r="CC582" s="4"/>
      <c r="CD582" s="4"/>
      <c r="CE582" s="4"/>
      <c r="CF582" s="4"/>
    </row>
    <row r="583" spans="1:84" x14ac:dyDescent="0.3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S583" s="4"/>
      <c r="BT583" s="4"/>
      <c r="BU583" s="4"/>
      <c r="BV583" s="4"/>
      <c r="BW583" s="4"/>
      <c r="BX583" s="4"/>
      <c r="BY583" s="4"/>
      <c r="BZ583" s="4"/>
      <c r="CA583" s="4"/>
      <c r="CB583" s="4"/>
      <c r="CC583" s="4"/>
      <c r="CD583" s="4"/>
      <c r="CE583" s="4"/>
      <c r="CF583" s="4"/>
    </row>
    <row r="584" spans="1:84" x14ac:dyDescent="0.3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S584" s="4"/>
      <c r="BT584" s="4"/>
      <c r="BU584" s="4"/>
      <c r="BV584" s="4"/>
      <c r="BW584" s="4"/>
      <c r="BX584" s="4"/>
      <c r="BY584" s="4"/>
      <c r="BZ584" s="4"/>
      <c r="CA584" s="4"/>
      <c r="CB584" s="4"/>
      <c r="CC584" s="4"/>
      <c r="CD584" s="4"/>
      <c r="CE584" s="4"/>
      <c r="CF584" s="4"/>
    </row>
    <row r="585" spans="1:84" x14ac:dyDescent="0.3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S585" s="4"/>
      <c r="BT585" s="4"/>
      <c r="BU585" s="4"/>
      <c r="BV585" s="4"/>
      <c r="BW585" s="4"/>
      <c r="BX585" s="4"/>
      <c r="BY585" s="4"/>
      <c r="BZ585" s="4"/>
      <c r="CA585" s="4"/>
      <c r="CB585" s="4"/>
      <c r="CC585" s="4"/>
      <c r="CD585" s="4"/>
      <c r="CE585" s="4"/>
      <c r="CF585" s="4"/>
    </row>
    <row r="586" spans="1:84" x14ac:dyDescent="0.3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S586" s="4"/>
      <c r="BT586" s="4"/>
      <c r="BU586" s="4"/>
      <c r="BV586" s="4"/>
      <c r="BW586" s="4"/>
      <c r="BX586" s="4"/>
      <c r="BY586" s="4"/>
      <c r="BZ586" s="4"/>
      <c r="CA586" s="4"/>
      <c r="CB586" s="4"/>
      <c r="CC586" s="4"/>
      <c r="CD586" s="4"/>
      <c r="CE586" s="4"/>
      <c r="CF586" s="4"/>
    </row>
    <row r="587" spans="1:84" x14ac:dyDescent="0.3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S587" s="4"/>
      <c r="BT587" s="4"/>
      <c r="BU587" s="4"/>
      <c r="BV587" s="4"/>
      <c r="BW587" s="4"/>
      <c r="BX587" s="4"/>
      <c r="BY587" s="4"/>
      <c r="BZ587" s="4"/>
      <c r="CA587" s="4"/>
      <c r="CB587" s="4"/>
      <c r="CC587" s="4"/>
      <c r="CD587" s="4"/>
      <c r="CE587" s="4"/>
      <c r="CF587" s="4"/>
    </row>
    <row r="588" spans="1:84" x14ac:dyDescent="0.3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S588" s="4"/>
      <c r="BT588" s="4"/>
      <c r="BU588" s="4"/>
      <c r="BV588" s="4"/>
      <c r="BW588" s="4"/>
      <c r="BX588" s="4"/>
      <c r="BY588" s="4"/>
      <c r="BZ588" s="4"/>
      <c r="CA588" s="4"/>
      <c r="CB588" s="4"/>
      <c r="CC588" s="4"/>
      <c r="CD588" s="4"/>
      <c r="CE588" s="4"/>
      <c r="CF588" s="4"/>
    </row>
    <row r="589" spans="1:84" x14ac:dyDescent="0.3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S589" s="4"/>
      <c r="BT589" s="4"/>
      <c r="BU589" s="4"/>
      <c r="BV589" s="4"/>
      <c r="BW589" s="4"/>
      <c r="BX589" s="4"/>
      <c r="BY589" s="4"/>
      <c r="BZ589" s="4"/>
      <c r="CA589" s="4"/>
      <c r="CB589" s="4"/>
      <c r="CC589" s="4"/>
      <c r="CD589" s="4"/>
      <c r="CE589" s="4"/>
      <c r="CF589" s="4"/>
    </row>
    <row r="590" spans="1:84" x14ac:dyDescent="0.3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S590" s="4"/>
      <c r="BT590" s="4"/>
      <c r="BU590" s="4"/>
      <c r="BV590" s="4"/>
      <c r="BW590" s="4"/>
      <c r="BX590" s="4"/>
      <c r="BY590" s="4"/>
      <c r="BZ590" s="4"/>
      <c r="CA590" s="4"/>
      <c r="CB590" s="4"/>
      <c r="CC590" s="4"/>
      <c r="CD590" s="4"/>
      <c r="CE590" s="4"/>
      <c r="CF590" s="4"/>
    </row>
    <row r="591" spans="1:84" x14ac:dyDescent="0.3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S591" s="4"/>
      <c r="BT591" s="4"/>
      <c r="BU591" s="4"/>
      <c r="BV591" s="4"/>
      <c r="BW591" s="4"/>
      <c r="BX591" s="4"/>
      <c r="BY591" s="4"/>
      <c r="BZ591" s="4"/>
      <c r="CA591" s="4"/>
      <c r="CB591" s="4"/>
      <c r="CC591" s="4"/>
      <c r="CD591" s="4"/>
      <c r="CE591" s="4"/>
      <c r="CF591" s="4"/>
    </row>
    <row r="592" spans="1:84" x14ac:dyDescent="0.3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S592" s="4"/>
      <c r="BT592" s="4"/>
      <c r="BU592" s="4"/>
      <c r="BV592" s="4"/>
      <c r="BW592" s="4"/>
      <c r="BX592" s="4"/>
      <c r="BY592" s="4"/>
      <c r="BZ592" s="4"/>
      <c r="CA592" s="4"/>
      <c r="CB592" s="4"/>
      <c r="CC592" s="4"/>
      <c r="CD592" s="4"/>
      <c r="CE592" s="4"/>
      <c r="CF592" s="4"/>
    </row>
    <row r="593" spans="1:84" x14ac:dyDescent="0.3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S593" s="4"/>
      <c r="BT593" s="4"/>
      <c r="BU593" s="4"/>
      <c r="BV593" s="4"/>
      <c r="BW593" s="4"/>
      <c r="BX593" s="4"/>
      <c r="BY593" s="4"/>
      <c r="BZ593" s="4"/>
      <c r="CA593" s="4"/>
      <c r="CB593" s="4"/>
      <c r="CC593" s="4"/>
      <c r="CD593" s="4"/>
      <c r="CE593" s="4"/>
      <c r="CF593" s="4"/>
    </row>
    <row r="594" spans="1:84" x14ac:dyDescent="0.3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S594" s="4"/>
      <c r="BT594" s="4"/>
      <c r="BU594" s="4"/>
      <c r="BV594" s="4"/>
      <c r="BW594" s="4"/>
      <c r="BX594" s="4"/>
      <c r="BY594" s="4"/>
      <c r="BZ594" s="4"/>
      <c r="CA594" s="4"/>
      <c r="CB594" s="4"/>
      <c r="CC594" s="4"/>
      <c r="CD594" s="4"/>
      <c r="CE594" s="4"/>
      <c r="CF594" s="4"/>
    </row>
    <row r="595" spans="1:84" x14ac:dyDescent="0.3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S595" s="4"/>
      <c r="BT595" s="4"/>
      <c r="BU595" s="4"/>
      <c r="BV595" s="4"/>
      <c r="BW595" s="4"/>
      <c r="BX595" s="4"/>
      <c r="BY595" s="4"/>
      <c r="BZ595" s="4"/>
      <c r="CA595" s="4"/>
      <c r="CB595" s="4"/>
      <c r="CC595" s="4"/>
      <c r="CD595" s="4"/>
      <c r="CE595" s="4"/>
      <c r="CF595" s="4"/>
    </row>
    <row r="596" spans="1:84" x14ac:dyDescent="0.3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S596" s="4"/>
      <c r="BT596" s="4"/>
      <c r="BU596" s="4"/>
      <c r="BV596" s="4"/>
      <c r="BW596" s="4"/>
      <c r="BX596" s="4"/>
      <c r="BY596" s="4"/>
      <c r="BZ596" s="4"/>
      <c r="CA596" s="4"/>
      <c r="CB596" s="4"/>
      <c r="CC596" s="4"/>
      <c r="CD596" s="4"/>
      <c r="CE596" s="4"/>
      <c r="CF596" s="4"/>
    </row>
    <row r="597" spans="1:84" x14ac:dyDescent="0.3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S597" s="4"/>
      <c r="BT597" s="4"/>
      <c r="BU597" s="4"/>
      <c r="BV597" s="4"/>
      <c r="BW597" s="4"/>
      <c r="BX597" s="4"/>
      <c r="BY597" s="4"/>
      <c r="BZ597" s="4"/>
      <c r="CA597" s="4"/>
      <c r="CB597" s="4"/>
      <c r="CC597" s="4"/>
      <c r="CD597" s="4"/>
      <c r="CE597" s="4"/>
      <c r="CF597" s="4"/>
    </row>
    <row r="598" spans="1:84" x14ac:dyDescent="0.3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S598" s="4"/>
      <c r="BT598" s="4"/>
      <c r="BU598" s="4"/>
      <c r="BV598" s="4"/>
      <c r="BW598" s="4"/>
      <c r="BX598" s="4"/>
      <c r="BY598" s="4"/>
      <c r="BZ598" s="4"/>
      <c r="CA598" s="4"/>
      <c r="CB598" s="4"/>
      <c r="CC598" s="4"/>
      <c r="CD598" s="4"/>
      <c r="CE598" s="4"/>
      <c r="CF598" s="4"/>
    </row>
    <row r="599" spans="1:84" x14ac:dyDescent="0.3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S599" s="4"/>
      <c r="BT599" s="4"/>
      <c r="BU599" s="4"/>
      <c r="BV599" s="4"/>
      <c r="BW599" s="4"/>
      <c r="BX599" s="4"/>
      <c r="BY599" s="4"/>
      <c r="BZ599" s="4"/>
      <c r="CA599" s="4"/>
      <c r="CB599" s="4"/>
      <c r="CC599" s="4"/>
      <c r="CD599" s="4"/>
      <c r="CE599" s="4"/>
      <c r="CF599" s="4"/>
    </row>
    <row r="600" spans="1:84" x14ac:dyDescent="0.3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S600" s="4"/>
      <c r="BT600" s="4"/>
      <c r="BU600" s="4"/>
      <c r="BV600" s="4"/>
      <c r="BW600" s="4"/>
      <c r="BX600" s="4"/>
      <c r="BY600" s="4"/>
      <c r="BZ600" s="4"/>
      <c r="CA600" s="4"/>
      <c r="CB600" s="4"/>
      <c r="CC600" s="4"/>
      <c r="CD600" s="4"/>
      <c r="CE600" s="4"/>
      <c r="CF600" s="4"/>
    </row>
    <row r="601" spans="1:84" x14ac:dyDescent="0.3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S601" s="4"/>
      <c r="BT601" s="4"/>
      <c r="BU601" s="4"/>
      <c r="BV601" s="4"/>
      <c r="BW601" s="4"/>
      <c r="BX601" s="4"/>
      <c r="BY601" s="4"/>
      <c r="BZ601" s="4"/>
      <c r="CA601" s="4"/>
      <c r="CB601" s="4"/>
      <c r="CC601" s="4"/>
      <c r="CD601" s="4"/>
      <c r="CE601" s="4"/>
      <c r="CF601" s="4"/>
    </row>
    <row r="602" spans="1:84" x14ac:dyDescent="0.3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S602" s="4"/>
      <c r="BT602" s="4"/>
      <c r="BU602" s="4"/>
      <c r="BV602" s="4"/>
      <c r="BW602" s="4"/>
      <c r="BX602" s="4"/>
      <c r="BY602" s="4"/>
      <c r="BZ602" s="4"/>
      <c r="CA602" s="4"/>
      <c r="CB602" s="4"/>
      <c r="CC602" s="4"/>
      <c r="CD602" s="4"/>
      <c r="CE602" s="4"/>
      <c r="CF602" s="4"/>
    </row>
    <row r="603" spans="1:84" x14ac:dyDescent="0.3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S603" s="4"/>
      <c r="BT603" s="4"/>
      <c r="BU603" s="4"/>
      <c r="BV603" s="4"/>
      <c r="BW603" s="4"/>
      <c r="BX603" s="4"/>
      <c r="BY603" s="4"/>
      <c r="BZ603" s="4"/>
      <c r="CA603" s="4"/>
      <c r="CB603" s="4"/>
      <c r="CC603" s="4"/>
      <c r="CD603" s="4"/>
      <c r="CE603" s="4"/>
      <c r="CF603" s="4"/>
    </row>
    <row r="604" spans="1:84" x14ac:dyDescent="0.3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S604" s="4"/>
      <c r="BT604" s="4"/>
      <c r="BU604" s="4"/>
      <c r="BV604" s="4"/>
      <c r="BW604" s="4"/>
      <c r="BX604" s="4"/>
      <c r="BY604" s="4"/>
      <c r="BZ604" s="4"/>
      <c r="CA604" s="4"/>
      <c r="CB604" s="4"/>
      <c r="CC604" s="4"/>
      <c r="CD604" s="4"/>
      <c r="CE604" s="4"/>
      <c r="CF604" s="4"/>
    </row>
    <row r="605" spans="1:84" x14ac:dyDescent="0.3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S605" s="4"/>
      <c r="BT605" s="4"/>
      <c r="BU605" s="4"/>
      <c r="BV605" s="4"/>
      <c r="BW605" s="4"/>
      <c r="BX605" s="4"/>
      <c r="BY605" s="4"/>
      <c r="BZ605" s="4"/>
      <c r="CA605" s="4"/>
      <c r="CB605" s="4"/>
      <c r="CC605" s="4"/>
      <c r="CD605" s="4"/>
      <c r="CE605" s="4"/>
      <c r="CF605" s="4"/>
    </row>
    <row r="606" spans="1:84" x14ac:dyDescent="0.3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S606" s="4"/>
      <c r="BT606" s="4"/>
      <c r="BU606" s="4"/>
      <c r="BV606" s="4"/>
      <c r="BW606" s="4"/>
      <c r="BX606" s="4"/>
      <c r="BY606" s="4"/>
      <c r="BZ606" s="4"/>
      <c r="CA606" s="4"/>
      <c r="CB606" s="4"/>
      <c r="CC606" s="4"/>
      <c r="CD606" s="4"/>
      <c r="CE606" s="4"/>
      <c r="CF606" s="4"/>
    </row>
    <row r="607" spans="1:84" x14ac:dyDescent="0.3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S607" s="4"/>
      <c r="BT607" s="4"/>
      <c r="BU607" s="4"/>
      <c r="BV607" s="4"/>
      <c r="BW607" s="4"/>
      <c r="BX607" s="4"/>
      <c r="BY607" s="4"/>
      <c r="BZ607" s="4"/>
      <c r="CA607" s="4"/>
      <c r="CB607" s="4"/>
      <c r="CC607" s="4"/>
      <c r="CD607" s="4"/>
      <c r="CE607" s="4"/>
      <c r="CF607" s="4"/>
    </row>
    <row r="608" spans="1:84" x14ac:dyDescent="0.3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S608" s="4"/>
      <c r="BT608" s="4"/>
      <c r="BU608" s="4"/>
      <c r="BV608" s="4"/>
      <c r="BW608" s="4"/>
      <c r="BX608" s="4"/>
      <c r="BY608" s="4"/>
      <c r="BZ608" s="4"/>
      <c r="CA608" s="4"/>
      <c r="CB608" s="4"/>
      <c r="CC608" s="4"/>
      <c r="CD608" s="4"/>
      <c r="CE608" s="4"/>
      <c r="CF608" s="4"/>
    </row>
    <row r="609" spans="1:84" x14ac:dyDescent="0.3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S609" s="4"/>
      <c r="BT609" s="4"/>
      <c r="BU609" s="4"/>
      <c r="BV609" s="4"/>
      <c r="BW609" s="4"/>
      <c r="BX609" s="4"/>
      <c r="BY609" s="4"/>
      <c r="BZ609" s="4"/>
      <c r="CA609" s="4"/>
      <c r="CB609" s="4"/>
      <c r="CC609" s="4"/>
      <c r="CD609" s="4"/>
      <c r="CE609" s="4"/>
      <c r="CF609" s="4"/>
    </row>
    <row r="610" spans="1:84" x14ac:dyDescent="0.3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S610" s="4"/>
      <c r="BT610" s="4"/>
      <c r="BU610" s="4"/>
      <c r="BV610" s="4"/>
      <c r="BW610" s="4"/>
      <c r="BX610" s="4"/>
      <c r="BY610" s="4"/>
      <c r="BZ610" s="4"/>
      <c r="CA610" s="4"/>
      <c r="CB610" s="4"/>
      <c r="CC610" s="4"/>
      <c r="CD610" s="4"/>
      <c r="CE610" s="4"/>
      <c r="CF610" s="4"/>
    </row>
    <row r="611" spans="1:84" x14ac:dyDescent="0.3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S611" s="4"/>
      <c r="BT611" s="4"/>
      <c r="BU611" s="4"/>
      <c r="BV611" s="4"/>
      <c r="BW611" s="4"/>
      <c r="BX611" s="4"/>
      <c r="BY611" s="4"/>
      <c r="BZ611" s="4"/>
      <c r="CA611" s="4"/>
      <c r="CB611" s="4"/>
      <c r="CC611" s="4"/>
      <c r="CD611" s="4"/>
      <c r="CE611" s="4"/>
      <c r="CF611" s="4"/>
    </row>
    <row r="612" spans="1:84" x14ac:dyDescent="0.3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S612" s="4"/>
      <c r="BT612" s="4"/>
      <c r="BU612" s="4"/>
      <c r="BV612" s="4"/>
      <c r="BW612" s="4"/>
      <c r="BX612" s="4"/>
      <c r="BY612" s="4"/>
      <c r="BZ612" s="4"/>
      <c r="CA612" s="4"/>
      <c r="CB612" s="4"/>
      <c r="CC612" s="4"/>
      <c r="CD612" s="4"/>
      <c r="CE612" s="4"/>
      <c r="CF612" s="4"/>
    </row>
    <row r="613" spans="1:84" x14ac:dyDescent="0.3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S613" s="4"/>
      <c r="BT613" s="4"/>
      <c r="BU613" s="4"/>
      <c r="BV613" s="4"/>
      <c r="BW613" s="4"/>
      <c r="BX613" s="4"/>
      <c r="BY613" s="4"/>
      <c r="BZ613" s="4"/>
      <c r="CA613" s="4"/>
      <c r="CB613" s="4"/>
      <c r="CC613" s="4"/>
      <c r="CD613" s="4"/>
      <c r="CE613" s="4"/>
      <c r="CF613" s="4"/>
    </row>
    <row r="614" spans="1:84" x14ac:dyDescent="0.3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S614" s="4"/>
      <c r="BT614" s="4"/>
      <c r="BU614" s="4"/>
      <c r="BV614" s="4"/>
      <c r="BW614" s="4"/>
      <c r="BX614" s="4"/>
      <c r="BY614" s="4"/>
      <c r="BZ614" s="4"/>
      <c r="CA614" s="4"/>
      <c r="CB614" s="4"/>
      <c r="CC614" s="4"/>
      <c r="CD614" s="4"/>
      <c r="CE614" s="4"/>
      <c r="CF614" s="4"/>
    </row>
    <row r="615" spans="1:84" x14ac:dyDescent="0.3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S615" s="4"/>
      <c r="BT615" s="4"/>
      <c r="BU615" s="4"/>
      <c r="BV615" s="4"/>
      <c r="BW615" s="4"/>
      <c r="BX615" s="4"/>
      <c r="BY615" s="4"/>
      <c r="BZ615" s="4"/>
      <c r="CA615" s="4"/>
      <c r="CB615" s="4"/>
      <c r="CC615" s="4"/>
      <c r="CD615" s="4"/>
      <c r="CE615" s="4"/>
      <c r="CF615" s="4"/>
    </row>
    <row r="616" spans="1:84" x14ac:dyDescent="0.3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S616" s="4"/>
      <c r="BT616" s="4"/>
      <c r="BU616" s="4"/>
      <c r="BV616" s="4"/>
      <c r="BW616" s="4"/>
      <c r="BX616" s="4"/>
      <c r="BY616" s="4"/>
      <c r="BZ616" s="4"/>
      <c r="CA616" s="4"/>
      <c r="CB616" s="4"/>
      <c r="CC616" s="4"/>
      <c r="CD616" s="4"/>
      <c r="CE616" s="4"/>
      <c r="CF616" s="4"/>
    </row>
    <row r="617" spans="1:84" x14ac:dyDescent="0.3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S617" s="4"/>
      <c r="BT617" s="4"/>
      <c r="BU617" s="4"/>
      <c r="BV617" s="4"/>
      <c r="BW617" s="4"/>
      <c r="BX617" s="4"/>
      <c r="BY617" s="4"/>
      <c r="BZ617" s="4"/>
      <c r="CA617" s="4"/>
      <c r="CB617" s="4"/>
      <c r="CC617" s="4"/>
      <c r="CD617" s="4"/>
      <c r="CE617" s="4"/>
      <c r="CF617" s="4"/>
    </row>
    <row r="618" spans="1:84" x14ac:dyDescent="0.3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S618" s="4"/>
      <c r="BT618" s="4"/>
      <c r="BU618" s="4"/>
      <c r="BV618" s="4"/>
      <c r="BW618" s="4"/>
      <c r="BX618" s="4"/>
      <c r="BY618" s="4"/>
      <c r="BZ618" s="4"/>
      <c r="CA618" s="4"/>
      <c r="CB618" s="4"/>
      <c r="CC618" s="4"/>
      <c r="CD618" s="4"/>
      <c r="CE618" s="4"/>
      <c r="CF618" s="4"/>
    </row>
    <row r="619" spans="1:84" x14ac:dyDescent="0.3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S619" s="4"/>
      <c r="BT619" s="4"/>
      <c r="BU619" s="4"/>
      <c r="BV619" s="4"/>
      <c r="BW619" s="4"/>
      <c r="BX619" s="4"/>
      <c r="BY619" s="4"/>
      <c r="BZ619" s="4"/>
      <c r="CA619" s="4"/>
      <c r="CB619" s="4"/>
      <c r="CC619" s="4"/>
      <c r="CD619" s="4"/>
      <c r="CE619" s="4"/>
      <c r="CF619" s="4"/>
    </row>
    <row r="620" spans="1:84" x14ac:dyDescent="0.3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S620" s="4"/>
      <c r="BT620" s="4"/>
      <c r="BU620" s="4"/>
      <c r="BV620" s="4"/>
      <c r="BW620" s="4"/>
      <c r="BX620" s="4"/>
      <c r="BY620" s="4"/>
      <c r="BZ620" s="4"/>
      <c r="CA620" s="4"/>
      <c r="CB620" s="4"/>
      <c r="CC620" s="4"/>
      <c r="CD620" s="4"/>
      <c r="CE620" s="4"/>
      <c r="CF620" s="4"/>
    </row>
    <row r="621" spans="1:84" x14ac:dyDescent="0.3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S621" s="4"/>
      <c r="BT621" s="4"/>
      <c r="BU621" s="4"/>
      <c r="BV621" s="4"/>
      <c r="BW621" s="4"/>
      <c r="BX621" s="4"/>
      <c r="BY621" s="4"/>
      <c r="BZ621" s="4"/>
      <c r="CA621" s="4"/>
      <c r="CB621" s="4"/>
      <c r="CC621" s="4"/>
      <c r="CD621" s="4"/>
      <c r="CE621" s="4"/>
      <c r="CF621" s="4"/>
    </row>
    <row r="622" spans="1:84" x14ac:dyDescent="0.3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S622" s="4"/>
      <c r="BT622" s="4"/>
      <c r="BU622" s="4"/>
      <c r="BV622" s="4"/>
      <c r="BW622" s="4"/>
      <c r="BX622" s="4"/>
      <c r="BY622" s="4"/>
      <c r="BZ622" s="4"/>
      <c r="CA622" s="4"/>
      <c r="CB622" s="4"/>
      <c r="CC622" s="4"/>
      <c r="CD622" s="4"/>
      <c r="CE622" s="4"/>
      <c r="CF622" s="4"/>
    </row>
    <row r="623" spans="1:84" x14ac:dyDescent="0.3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S623" s="4"/>
      <c r="BT623" s="4"/>
      <c r="BU623" s="4"/>
      <c r="BV623" s="4"/>
      <c r="BW623" s="4"/>
      <c r="BX623" s="4"/>
      <c r="BY623" s="4"/>
      <c r="BZ623" s="4"/>
      <c r="CA623" s="4"/>
      <c r="CB623" s="4"/>
      <c r="CC623" s="4"/>
      <c r="CD623" s="4"/>
      <c r="CE623" s="4"/>
      <c r="CF623" s="4"/>
    </row>
    <row r="624" spans="1:84" x14ac:dyDescent="0.3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S624" s="4"/>
      <c r="BT624" s="4"/>
      <c r="BU624" s="4"/>
      <c r="BV624" s="4"/>
      <c r="BW624" s="4"/>
      <c r="BX624" s="4"/>
      <c r="BY624" s="4"/>
      <c r="BZ624" s="4"/>
      <c r="CA624" s="4"/>
      <c r="CB624" s="4"/>
      <c r="CC624" s="4"/>
      <c r="CD624" s="4"/>
      <c r="CE624" s="4"/>
      <c r="CF624" s="4"/>
    </row>
    <row r="625" spans="1:84" x14ac:dyDescent="0.3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S625" s="4"/>
      <c r="BT625" s="4"/>
      <c r="BU625" s="4"/>
      <c r="BV625" s="4"/>
      <c r="BW625" s="4"/>
      <c r="BX625" s="4"/>
      <c r="BY625" s="4"/>
      <c r="BZ625" s="4"/>
      <c r="CA625" s="4"/>
      <c r="CB625" s="4"/>
      <c r="CC625" s="4"/>
      <c r="CD625" s="4"/>
      <c r="CE625" s="4"/>
      <c r="CF625" s="4"/>
    </row>
    <row r="626" spans="1:84" x14ac:dyDescent="0.3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S626" s="4"/>
      <c r="BT626" s="4"/>
      <c r="BU626" s="4"/>
      <c r="BV626" s="4"/>
      <c r="BW626" s="4"/>
      <c r="BX626" s="4"/>
      <c r="BY626" s="4"/>
      <c r="BZ626" s="4"/>
      <c r="CA626" s="4"/>
      <c r="CB626" s="4"/>
      <c r="CC626" s="4"/>
      <c r="CD626" s="4"/>
      <c r="CE626" s="4"/>
      <c r="CF626" s="4"/>
    </row>
    <row r="627" spans="1:84" x14ac:dyDescent="0.3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S627" s="4"/>
      <c r="BT627" s="4"/>
      <c r="BU627" s="4"/>
      <c r="BV627" s="4"/>
      <c r="BW627" s="4"/>
      <c r="BX627" s="4"/>
      <c r="BY627" s="4"/>
      <c r="BZ627" s="4"/>
      <c r="CA627" s="4"/>
      <c r="CB627" s="4"/>
      <c r="CC627" s="4"/>
      <c r="CD627" s="4"/>
      <c r="CE627" s="4"/>
      <c r="CF627" s="4"/>
    </row>
    <row r="628" spans="1:84" x14ac:dyDescent="0.3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S628" s="4"/>
      <c r="BT628" s="4"/>
      <c r="BU628" s="4"/>
      <c r="BV628" s="4"/>
      <c r="BW628" s="4"/>
      <c r="BX628" s="4"/>
      <c r="BY628" s="4"/>
      <c r="BZ628" s="4"/>
      <c r="CA628" s="4"/>
      <c r="CB628" s="4"/>
      <c r="CC628" s="4"/>
      <c r="CD628" s="4"/>
      <c r="CE628" s="4"/>
      <c r="CF628" s="4"/>
    </row>
    <row r="629" spans="1:84" x14ac:dyDescent="0.3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S629" s="4"/>
      <c r="BT629" s="4"/>
      <c r="BU629" s="4"/>
      <c r="BV629" s="4"/>
      <c r="BW629" s="4"/>
      <c r="BX629" s="4"/>
      <c r="BY629" s="4"/>
      <c r="BZ629" s="4"/>
      <c r="CA629" s="4"/>
      <c r="CB629" s="4"/>
      <c r="CC629" s="4"/>
      <c r="CD629" s="4"/>
      <c r="CE629" s="4"/>
      <c r="CF629" s="4"/>
    </row>
    <row r="630" spans="1:84" x14ac:dyDescent="0.3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S630" s="4"/>
      <c r="BT630" s="4"/>
      <c r="BU630" s="4"/>
      <c r="BV630" s="4"/>
      <c r="BW630" s="4"/>
      <c r="BX630" s="4"/>
      <c r="BY630" s="4"/>
      <c r="BZ630" s="4"/>
      <c r="CA630" s="4"/>
      <c r="CB630" s="4"/>
      <c r="CC630" s="4"/>
      <c r="CD630" s="4"/>
      <c r="CE630" s="4"/>
      <c r="CF630" s="4"/>
    </row>
    <row r="631" spans="1:84" x14ac:dyDescent="0.3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S631" s="4"/>
      <c r="BT631" s="4"/>
      <c r="BU631" s="4"/>
      <c r="BV631" s="4"/>
      <c r="BW631" s="4"/>
      <c r="BX631" s="4"/>
      <c r="BY631" s="4"/>
      <c r="BZ631" s="4"/>
      <c r="CA631" s="4"/>
      <c r="CB631" s="4"/>
      <c r="CC631" s="4"/>
      <c r="CD631" s="4"/>
      <c r="CE631" s="4"/>
      <c r="CF631" s="4"/>
    </row>
    <row r="632" spans="1:84" x14ac:dyDescent="0.3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S632" s="4"/>
      <c r="BT632" s="4"/>
      <c r="BU632" s="4"/>
      <c r="BV632" s="4"/>
      <c r="BW632" s="4"/>
      <c r="BX632" s="4"/>
      <c r="BY632" s="4"/>
      <c r="BZ632" s="4"/>
      <c r="CA632" s="4"/>
      <c r="CB632" s="4"/>
      <c r="CC632" s="4"/>
      <c r="CD632" s="4"/>
      <c r="CE632" s="4"/>
      <c r="CF632" s="4"/>
    </row>
    <row r="633" spans="1:84" x14ac:dyDescent="0.3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S633" s="4"/>
      <c r="BT633" s="4"/>
      <c r="BU633" s="4"/>
      <c r="BV633" s="4"/>
      <c r="BW633" s="4"/>
      <c r="BX633" s="4"/>
      <c r="BY633" s="4"/>
      <c r="BZ633" s="4"/>
      <c r="CA633" s="4"/>
      <c r="CB633" s="4"/>
      <c r="CC633" s="4"/>
      <c r="CD633" s="4"/>
      <c r="CE633" s="4"/>
      <c r="CF633" s="4"/>
    </row>
    <row r="634" spans="1:84" x14ac:dyDescent="0.3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S634" s="4"/>
      <c r="BT634" s="4"/>
      <c r="BU634" s="4"/>
      <c r="BV634" s="4"/>
      <c r="BW634" s="4"/>
      <c r="BX634" s="4"/>
      <c r="BY634" s="4"/>
      <c r="BZ634" s="4"/>
      <c r="CA634" s="4"/>
      <c r="CB634" s="4"/>
      <c r="CC634" s="4"/>
      <c r="CD634" s="4"/>
      <c r="CE634" s="4"/>
      <c r="CF634" s="4"/>
    </row>
    <row r="635" spans="1:84" x14ac:dyDescent="0.3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S635" s="4"/>
      <c r="BT635" s="4"/>
      <c r="BU635" s="4"/>
      <c r="BV635" s="4"/>
      <c r="BW635" s="4"/>
      <c r="BX635" s="4"/>
      <c r="BY635" s="4"/>
      <c r="BZ635" s="4"/>
      <c r="CA635" s="4"/>
      <c r="CB635" s="4"/>
      <c r="CC635" s="4"/>
      <c r="CD635" s="4"/>
      <c r="CE635" s="4"/>
      <c r="CF635" s="4"/>
    </row>
    <row r="636" spans="1:84" x14ac:dyDescent="0.3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S636" s="4"/>
      <c r="BT636" s="4"/>
      <c r="BU636" s="4"/>
      <c r="BV636" s="4"/>
      <c r="BW636" s="4"/>
      <c r="BX636" s="4"/>
      <c r="BY636" s="4"/>
      <c r="BZ636" s="4"/>
      <c r="CA636" s="4"/>
      <c r="CB636" s="4"/>
      <c r="CC636" s="4"/>
      <c r="CD636" s="4"/>
      <c r="CE636" s="4"/>
      <c r="CF636" s="4"/>
    </row>
    <row r="637" spans="1:84" x14ac:dyDescent="0.3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S637" s="4"/>
      <c r="BT637" s="4"/>
      <c r="BU637" s="4"/>
      <c r="BV637" s="4"/>
      <c r="BW637" s="4"/>
      <c r="BX637" s="4"/>
      <c r="BY637" s="4"/>
      <c r="BZ637" s="4"/>
      <c r="CA637" s="4"/>
      <c r="CB637" s="4"/>
      <c r="CC637" s="4"/>
      <c r="CD637" s="4"/>
      <c r="CE637" s="4"/>
      <c r="CF637" s="4"/>
    </row>
    <row r="638" spans="1:84" x14ac:dyDescent="0.3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S638" s="4"/>
      <c r="BT638" s="4"/>
      <c r="BU638" s="4"/>
      <c r="BV638" s="4"/>
      <c r="BW638" s="4"/>
      <c r="BX638" s="4"/>
      <c r="BY638" s="4"/>
      <c r="BZ638" s="4"/>
      <c r="CA638" s="4"/>
      <c r="CB638" s="4"/>
      <c r="CC638" s="4"/>
      <c r="CD638" s="4"/>
      <c r="CE638" s="4"/>
      <c r="CF638" s="4"/>
    </row>
    <row r="639" spans="1:84" x14ac:dyDescent="0.3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S639" s="4"/>
      <c r="BT639" s="4"/>
      <c r="BU639" s="4"/>
      <c r="BV639" s="4"/>
      <c r="BW639" s="4"/>
      <c r="BX639" s="4"/>
      <c r="BY639" s="4"/>
      <c r="BZ639" s="4"/>
      <c r="CA639" s="4"/>
      <c r="CB639" s="4"/>
      <c r="CC639" s="4"/>
      <c r="CD639" s="4"/>
      <c r="CE639" s="4"/>
      <c r="CF639" s="4"/>
    </row>
    <row r="640" spans="1:84" x14ac:dyDescent="0.3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S640" s="4"/>
      <c r="BT640" s="4"/>
      <c r="BU640" s="4"/>
      <c r="BV640" s="4"/>
      <c r="BW640" s="4"/>
      <c r="BX640" s="4"/>
      <c r="BY640" s="4"/>
      <c r="BZ640" s="4"/>
      <c r="CA640" s="4"/>
      <c r="CB640" s="4"/>
      <c r="CC640" s="4"/>
      <c r="CD640" s="4"/>
      <c r="CE640" s="4"/>
      <c r="CF640" s="4"/>
    </row>
    <row r="641" spans="1:84" x14ac:dyDescent="0.3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S641" s="4"/>
      <c r="BT641" s="4"/>
      <c r="BU641" s="4"/>
      <c r="BV641" s="4"/>
      <c r="BW641" s="4"/>
      <c r="BX641" s="4"/>
      <c r="BY641" s="4"/>
      <c r="BZ641" s="4"/>
      <c r="CA641" s="4"/>
      <c r="CB641" s="4"/>
      <c r="CC641" s="4"/>
      <c r="CD641" s="4"/>
      <c r="CE641" s="4"/>
      <c r="CF641" s="4"/>
    </row>
    <row r="642" spans="1:84" x14ac:dyDescent="0.3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S642" s="4"/>
      <c r="BT642" s="4"/>
      <c r="BU642" s="4"/>
      <c r="BV642" s="4"/>
      <c r="BW642" s="4"/>
      <c r="BX642" s="4"/>
      <c r="BY642" s="4"/>
      <c r="BZ642" s="4"/>
      <c r="CA642" s="4"/>
      <c r="CB642" s="4"/>
      <c r="CC642" s="4"/>
      <c r="CD642" s="4"/>
      <c r="CE642" s="4"/>
      <c r="CF642" s="4"/>
    </row>
    <row r="643" spans="1:84" x14ac:dyDescent="0.3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S643" s="4"/>
      <c r="BT643" s="4"/>
      <c r="BU643" s="4"/>
      <c r="BV643" s="4"/>
      <c r="BW643" s="4"/>
      <c r="BX643" s="4"/>
      <c r="BY643" s="4"/>
      <c r="BZ643" s="4"/>
      <c r="CA643" s="4"/>
      <c r="CB643" s="4"/>
      <c r="CC643" s="4"/>
      <c r="CD643" s="4"/>
      <c r="CE643" s="4"/>
      <c r="CF643" s="4"/>
    </row>
    <row r="644" spans="1:84" x14ac:dyDescent="0.3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S644" s="4"/>
      <c r="BT644" s="4"/>
      <c r="BU644" s="4"/>
      <c r="BV644" s="4"/>
      <c r="BW644" s="4"/>
      <c r="BX644" s="4"/>
      <c r="BY644" s="4"/>
      <c r="BZ644" s="4"/>
      <c r="CA644" s="4"/>
      <c r="CB644" s="4"/>
      <c r="CC644" s="4"/>
      <c r="CD644" s="4"/>
      <c r="CE644" s="4"/>
      <c r="CF644" s="4"/>
    </row>
    <row r="645" spans="1:84" x14ac:dyDescent="0.3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S645" s="4"/>
      <c r="BT645" s="4"/>
      <c r="BU645" s="4"/>
      <c r="BV645" s="4"/>
      <c r="BW645" s="4"/>
      <c r="BX645" s="4"/>
      <c r="BY645" s="4"/>
      <c r="BZ645" s="4"/>
      <c r="CA645" s="4"/>
      <c r="CB645" s="4"/>
      <c r="CC645" s="4"/>
      <c r="CD645" s="4"/>
      <c r="CE645" s="4"/>
      <c r="CF645" s="4"/>
    </row>
    <row r="646" spans="1:84" x14ac:dyDescent="0.3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S646" s="4"/>
      <c r="BT646" s="4"/>
      <c r="BU646" s="4"/>
      <c r="BV646" s="4"/>
      <c r="BW646" s="4"/>
      <c r="BX646" s="4"/>
      <c r="BY646" s="4"/>
      <c r="BZ646" s="4"/>
      <c r="CA646" s="4"/>
      <c r="CB646" s="4"/>
      <c r="CC646" s="4"/>
      <c r="CD646" s="4"/>
      <c r="CE646" s="4"/>
      <c r="CF646" s="4"/>
    </row>
    <row r="647" spans="1:84" x14ac:dyDescent="0.3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S647" s="4"/>
      <c r="BT647" s="4"/>
      <c r="BU647" s="4"/>
      <c r="BV647" s="4"/>
      <c r="BW647" s="4"/>
      <c r="BX647" s="4"/>
      <c r="BY647" s="4"/>
      <c r="BZ647" s="4"/>
      <c r="CA647" s="4"/>
      <c r="CB647" s="4"/>
      <c r="CC647" s="4"/>
      <c r="CD647" s="4"/>
      <c r="CE647" s="4"/>
      <c r="CF647" s="4"/>
    </row>
    <row r="648" spans="1:84" x14ac:dyDescent="0.3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S648" s="4"/>
      <c r="BT648" s="4"/>
      <c r="BU648" s="4"/>
      <c r="BV648" s="4"/>
      <c r="BW648" s="4"/>
      <c r="BX648" s="4"/>
      <c r="BY648" s="4"/>
      <c r="BZ648" s="4"/>
      <c r="CA648" s="4"/>
      <c r="CB648" s="4"/>
      <c r="CC648" s="4"/>
      <c r="CD648" s="4"/>
      <c r="CE648" s="4"/>
      <c r="CF648" s="4"/>
    </row>
    <row r="649" spans="1:84" x14ac:dyDescent="0.3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S649" s="4"/>
      <c r="BT649" s="4"/>
      <c r="BU649" s="4"/>
      <c r="BV649" s="4"/>
      <c r="BW649" s="4"/>
      <c r="BX649" s="4"/>
      <c r="BY649" s="4"/>
      <c r="BZ649" s="4"/>
      <c r="CA649" s="4"/>
      <c r="CB649" s="4"/>
      <c r="CC649" s="4"/>
      <c r="CD649" s="4"/>
      <c r="CE649" s="4"/>
      <c r="CF649" s="4"/>
    </row>
    <row r="650" spans="1:84" x14ac:dyDescent="0.3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S650" s="4"/>
      <c r="BT650" s="4"/>
      <c r="BU650" s="4"/>
      <c r="BV650" s="4"/>
      <c r="BW650" s="4"/>
      <c r="BX650" s="4"/>
      <c r="BY650" s="4"/>
      <c r="BZ650" s="4"/>
      <c r="CA650" s="4"/>
      <c r="CB650" s="4"/>
      <c r="CC650" s="4"/>
      <c r="CD650" s="4"/>
      <c r="CE650" s="4"/>
      <c r="CF650" s="4"/>
    </row>
    <row r="651" spans="1:84" x14ac:dyDescent="0.3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S651" s="4"/>
      <c r="BT651" s="4"/>
      <c r="BU651" s="4"/>
      <c r="BV651" s="4"/>
      <c r="BW651" s="4"/>
      <c r="BX651" s="4"/>
      <c r="BY651" s="4"/>
      <c r="BZ651" s="4"/>
      <c r="CA651" s="4"/>
      <c r="CB651" s="4"/>
      <c r="CC651" s="4"/>
      <c r="CD651" s="4"/>
      <c r="CE651" s="4"/>
      <c r="CF651" s="4"/>
    </row>
    <row r="652" spans="1:84" x14ac:dyDescent="0.3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S652" s="4"/>
      <c r="BT652" s="4"/>
      <c r="BU652" s="4"/>
      <c r="BV652" s="4"/>
      <c r="BW652" s="4"/>
      <c r="BX652" s="4"/>
      <c r="BY652" s="4"/>
      <c r="BZ652" s="4"/>
      <c r="CA652" s="4"/>
      <c r="CB652" s="4"/>
      <c r="CC652" s="4"/>
      <c r="CD652" s="4"/>
      <c r="CE652" s="4"/>
      <c r="CF652" s="4"/>
    </row>
    <row r="653" spans="1:84" x14ac:dyDescent="0.3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S653" s="4"/>
      <c r="BT653" s="4"/>
      <c r="BU653" s="4"/>
      <c r="BV653" s="4"/>
      <c r="BW653" s="4"/>
      <c r="BX653" s="4"/>
      <c r="BY653" s="4"/>
      <c r="BZ653" s="4"/>
      <c r="CA653" s="4"/>
      <c r="CB653" s="4"/>
      <c r="CC653" s="4"/>
      <c r="CD653" s="4"/>
      <c r="CE653" s="4"/>
      <c r="CF653" s="4"/>
    </row>
    <row r="654" spans="1:84" x14ac:dyDescent="0.3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S654" s="4"/>
      <c r="BT654" s="4"/>
      <c r="BU654" s="4"/>
      <c r="BV654" s="4"/>
      <c r="BW654" s="4"/>
      <c r="BX654" s="4"/>
      <c r="BY654" s="4"/>
      <c r="BZ654" s="4"/>
      <c r="CA654" s="4"/>
      <c r="CB654" s="4"/>
      <c r="CC654" s="4"/>
      <c r="CD654" s="4"/>
      <c r="CE654" s="4"/>
      <c r="CF654" s="4"/>
    </row>
    <row r="655" spans="1:84" x14ac:dyDescent="0.3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S655" s="4"/>
      <c r="BT655" s="4"/>
      <c r="BU655" s="4"/>
      <c r="BV655" s="4"/>
      <c r="BW655" s="4"/>
      <c r="BX655" s="4"/>
      <c r="BY655" s="4"/>
      <c r="BZ655" s="4"/>
      <c r="CA655" s="4"/>
      <c r="CB655" s="4"/>
      <c r="CC655" s="4"/>
      <c r="CD655" s="4"/>
      <c r="CE655" s="4"/>
      <c r="CF655" s="4"/>
    </row>
    <row r="656" spans="1:84" x14ac:dyDescent="0.3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S656" s="4"/>
      <c r="BT656" s="4"/>
      <c r="BU656" s="4"/>
      <c r="BV656" s="4"/>
      <c r="BW656" s="4"/>
      <c r="BX656" s="4"/>
      <c r="BY656" s="4"/>
      <c r="BZ656" s="4"/>
      <c r="CA656" s="4"/>
      <c r="CB656" s="4"/>
      <c r="CC656" s="4"/>
      <c r="CD656" s="4"/>
      <c r="CE656" s="4"/>
      <c r="CF656" s="4"/>
    </row>
    <row r="657" spans="1:84" x14ac:dyDescent="0.3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S657" s="4"/>
      <c r="BT657" s="4"/>
      <c r="BU657" s="4"/>
      <c r="BV657" s="4"/>
      <c r="BW657" s="4"/>
      <c r="BX657" s="4"/>
      <c r="BY657" s="4"/>
      <c r="BZ657" s="4"/>
      <c r="CA657" s="4"/>
      <c r="CB657" s="4"/>
      <c r="CC657" s="4"/>
      <c r="CD657" s="4"/>
      <c r="CE657" s="4"/>
      <c r="CF657" s="4"/>
    </row>
    <row r="658" spans="1:84" x14ac:dyDescent="0.3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S658" s="4"/>
      <c r="BT658" s="4"/>
      <c r="BU658" s="4"/>
      <c r="BV658" s="4"/>
      <c r="BW658" s="4"/>
      <c r="BX658" s="4"/>
      <c r="BY658" s="4"/>
      <c r="BZ658" s="4"/>
      <c r="CA658" s="4"/>
      <c r="CB658" s="4"/>
      <c r="CC658" s="4"/>
      <c r="CD658" s="4"/>
      <c r="CE658" s="4"/>
      <c r="CF658" s="4"/>
    </row>
    <row r="659" spans="1:84" x14ac:dyDescent="0.3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S659" s="4"/>
      <c r="BT659" s="4"/>
      <c r="BU659" s="4"/>
      <c r="BV659" s="4"/>
      <c r="BW659" s="4"/>
      <c r="BX659" s="4"/>
      <c r="BY659" s="4"/>
      <c r="BZ659" s="4"/>
      <c r="CA659" s="4"/>
      <c r="CB659" s="4"/>
      <c r="CC659" s="4"/>
      <c r="CD659" s="4"/>
      <c r="CE659" s="4"/>
      <c r="CF659" s="4"/>
    </row>
    <row r="660" spans="1:84" x14ac:dyDescent="0.3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S660" s="4"/>
      <c r="BT660" s="4"/>
      <c r="BU660" s="4"/>
      <c r="BV660" s="4"/>
      <c r="BW660" s="4"/>
      <c r="BX660" s="4"/>
      <c r="BY660" s="4"/>
      <c r="BZ660" s="4"/>
      <c r="CA660" s="4"/>
      <c r="CB660" s="4"/>
      <c r="CC660" s="4"/>
      <c r="CD660" s="4"/>
      <c r="CE660" s="4"/>
      <c r="CF660" s="4"/>
    </row>
    <row r="661" spans="1:84" x14ac:dyDescent="0.3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S661" s="4"/>
      <c r="BT661" s="4"/>
      <c r="BU661" s="4"/>
      <c r="BV661" s="4"/>
      <c r="BW661" s="4"/>
      <c r="BX661" s="4"/>
      <c r="BY661" s="4"/>
      <c r="BZ661" s="4"/>
      <c r="CA661" s="4"/>
      <c r="CB661" s="4"/>
      <c r="CC661" s="4"/>
      <c r="CD661" s="4"/>
      <c r="CE661" s="4"/>
      <c r="CF661" s="4"/>
    </row>
    <row r="662" spans="1:84" x14ac:dyDescent="0.3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S662" s="4"/>
      <c r="BT662" s="4"/>
      <c r="BU662" s="4"/>
      <c r="BV662" s="4"/>
      <c r="BW662" s="4"/>
      <c r="BX662" s="4"/>
      <c r="BY662" s="4"/>
      <c r="BZ662" s="4"/>
      <c r="CA662" s="4"/>
      <c r="CB662" s="4"/>
      <c r="CC662" s="4"/>
      <c r="CD662" s="4"/>
      <c r="CE662" s="4"/>
      <c r="CF662" s="4"/>
    </row>
    <row r="663" spans="1:84" x14ac:dyDescent="0.3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S663" s="4"/>
      <c r="BT663" s="4"/>
      <c r="BU663" s="4"/>
      <c r="BV663" s="4"/>
      <c r="BW663" s="4"/>
      <c r="BX663" s="4"/>
      <c r="BY663" s="4"/>
      <c r="BZ663" s="4"/>
      <c r="CA663" s="4"/>
      <c r="CB663" s="4"/>
      <c r="CC663" s="4"/>
      <c r="CD663" s="4"/>
      <c r="CE663" s="4"/>
      <c r="CF663" s="4"/>
    </row>
    <row r="664" spans="1:84" x14ac:dyDescent="0.3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S664" s="4"/>
      <c r="BT664" s="4"/>
      <c r="BU664" s="4"/>
      <c r="BV664" s="4"/>
      <c r="BW664" s="4"/>
      <c r="BX664" s="4"/>
      <c r="BY664" s="4"/>
      <c r="BZ664" s="4"/>
      <c r="CA664" s="4"/>
      <c r="CB664" s="4"/>
      <c r="CC664" s="4"/>
      <c r="CD664" s="4"/>
      <c r="CE664" s="4"/>
      <c r="CF664" s="4"/>
    </row>
    <row r="665" spans="1:84" x14ac:dyDescent="0.3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S665" s="4"/>
      <c r="BT665" s="4"/>
      <c r="BU665" s="4"/>
      <c r="BV665" s="4"/>
      <c r="BW665" s="4"/>
      <c r="BX665" s="4"/>
      <c r="BY665" s="4"/>
      <c r="BZ665" s="4"/>
      <c r="CA665" s="4"/>
      <c r="CB665" s="4"/>
      <c r="CC665" s="4"/>
      <c r="CD665" s="4"/>
      <c r="CE665" s="4"/>
      <c r="CF665" s="4"/>
    </row>
    <row r="666" spans="1:84" x14ac:dyDescent="0.3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S666" s="4"/>
      <c r="BT666" s="4"/>
      <c r="BU666" s="4"/>
      <c r="BV666" s="4"/>
      <c r="BW666" s="4"/>
      <c r="BX666" s="4"/>
      <c r="BY666" s="4"/>
      <c r="BZ666" s="4"/>
      <c r="CA666" s="4"/>
      <c r="CB666" s="4"/>
      <c r="CC666" s="4"/>
      <c r="CD666" s="4"/>
      <c r="CE666" s="4"/>
      <c r="CF666" s="4"/>
    </row>
    <row r="667" spans="1:84" x14ac:dyDescent="0.3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S667" s="4"/>
      <c r="BT667" s="4"/>
      <c r="BU667" s="4"/>
      <c r="BV667" s="4"/>
      <c r="BW667" s="4"/>
      <c r="BX667" s="4"/>
      <c r="BY667" s="4"/>
      <c r="BZ667" s="4"/>
      <c r="CA667" s="4"/>
      <c r="CB667" s="4"/>
      <c r="CC667" s="4"/>
      <c r="CD667" s="4"/>
      <c r="CE667" s="4"/>
      <c r="CF667" s="4"/>
    </row>
    <row r="668" spans="1:84" x14ac:dyDescent="0.3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S668" s="4"/>
      <c r="BT668" s="4"/>
      <c r="BU668" s="4"/>
      <c r="BV668" s="4"/>
      <c r="BW668" s="4"/>
      <c r="BX668" s="4"/>
      <c r="BY668" s="4"/>
      <c r="BZ668" s="4"/>
      <c r="CA668" s="4"/>
      <c r="CB668" s="4"/>
      <c r="CC668" s="4"/>
      <c r="CD668" s="4"/>
      <c r="CE668" s="4"/>
      <c r="CF668" s="4"/>
    </row>
    <row r="669" spans="1:84" x14ac:dyDescent="0.3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S669" s="4"/>
      <c r="BT669" s="4"/>
      <c r="BU669" s="4"/>
      <c r="BV669" s="4"/>
      <c r="BW669" s="4"/>
      <c r="BX669" s="4"/>
      <c r="BY669" s="4"/>
      <c r="BZ669" s="4"/>
      <c r="CA669" s="4"/>
      <c r="CB669" s="4"/>
      <c r="CC669" s="4"/>
      <c r="CD669" s="4"/>
      <c r="CE669" s="4"/>
      <c r="CF669" s="4"/>
    </row>
    <row r="670" spans="1:84" x14ac:dyDescent="0.3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S670" s="4"/>
      <c r="BT670" s="4"/>
      <c r="BU670" s="4"/>
      <c r="BV670" s="4"/>
      <c r="BW670" s="4"/>
      <c r="BX670" s="4"/>
      <c r="BY670" s="4"/>
      <c r="BZ670" s="4"/>
      <c r="CA670" s="4"/>
      <c r="CB670" s="4"/>
      <c r="CC670" s="4"/>
      <c r="CD670" s="4"/>
      <c r="CE670" s="4"/>
      <c r="CF670" s="4"/>
    </row>
    <row r="671" spans="1:84" x14ac:dyDescent="0.3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S671" s="4"/>
      <c r="BT671" s="4"/>
      <c r="BU671" s="4"/>
      <c r="BV671" s="4"/>
      <c r="BW671" s="4"/>
      <c r="BX671" s="4"/>
      <c r="BY671" s="4"/>
      <c r="BZ671" s="4"/>
      <c r="CA671" s="4"/>
      <c r="CB671" s="4"/>
      <c r="CC671" s="4"/>
      <c r="CD671" s="4"/>
      <c r="CE671" s="4"/>
      <c r="CF671" s="4"/>
    </row>
    <row r="672" spans="1:84" x14ac:dyDescent="0.3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S672" s="4"/>
      <c r="BT672" s="4"/>
      <c r="BU672" s="4"/>
      <c r="BV672" s="4"/>
      <c r="BW672" s="4"/>
      <c r="BX672" s="4"/>
      <c r="BY672" s="4"/>
      <c r="BZ672" s="4"/>
      <c r="CA672" s="4"/>
      <c r="CB672" s="4"/>
      <c r="CC672" s="4"/>
      <c r="CD672" s="4"/>
      <c r="CE672" s="4"/>
      <c r="CF672" s="4"/>
    </row>
    <row r="673" spans="1:84" x14ac:dyDescent="0.3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S673" s="4"/>
      <c r="BT673" s="4"/>
      <c r="BU673" s="4"/>
      <c r="BV673" s="4"/>
      <c r="BW673" s="4"/>
      <c r="BX673" s="4"/>
      <c r="BY673" s="4"/>
      <c r="BZ673" s="4"/>
      <c r="CA673" s="4"/>
      <c r="CB673" s="4"/>
      <c r="CC673" s="4"/>
      <c r="CD673" s="4"/>
      <c r="CE673" s="4"/>
      <c r="CF673" s="4"/>
    </row>
    <row r="674" spans="1:84" x14ac:dyDescent="0.3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S674" s="4"/>
      <c r="BT674" s="4"/>
      <c r="BU674" s="4"/>
      <c r="BV674" s="4"/>
      <c r="BW674" s="4"/>
      <c r="BX674" s="4"/>
      <c r="BY674" s="4"/>
      <c r="BZ674" s="4"/>
      <c r="CA674" s="4"/>
      <c r="CB674" s="4"/>
      <c r="CC674" s="4"/>
      <c r="CD674" s="4"/>
      <c r="CE674" s="4"/>
      <c r="CF674" s="4"/>
    </row>
    <row r="675" spans="1:84" x14ac:dyDescent="0.3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S675" s="4"/>
      <c r="BT675" s="4"/>
      <c r="BU675" s="4"/>
      <c r="BV675" s="4"/>
      <c r="BW675" s="4"/>
      <c r="BX675" s="4"/>
      <c r="BY675" s="4"/>
      <c r="BZ675" s="4"/>
      <c r="CA675" s="4"/>
      <c r="CB675" s="4"/>
      <c r="CC675" s="4"/>
      <c r="CD675" s="4"/>
      <c r="CE675" s="4"/>
      <c r="CF675" s="4"/>
    </row>
    <row r="676" spans="1:84" x14ac:dyDescent="0.3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S676" s="4"/>
      <c r="BT676" s="4"/>
      <c r="BU676" s="4"/>
      <c r="BV676" s="4"/>
      <c r="BW676" s="4"/>
      <c r="BX676" s="4"/>
      <c r="BY676" s="4"/>
      <c r="BZ676" s="4"/>
      <c r="CA676" s="4"/>
      <c r="CB676" s="4"/>
      <c r="CC676" s="4"/>
      <c r="CD676" s="4"/>
      <c r="CE676" s="4"/>
      <c r="CF676" s="4"/>
    </row>
    <row r="677" spans="1:84" x14ac:dyDescent="0.3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S677" s="4"/>
      <c r="BT677" s="4"/>
      <c r="BU677" s="4"/>
      <c r="BV677" s="4"/>
      <c r="BW677" s="4"/>
      <c r="BX677" s="4"/>
      <c r="BY677" s="4"/>
      <c r="BZ677" s="4"/>
      <c r="CA677" s="4"/>
      <c r="CB677" s="4"/>
      <c r="CC677" s="4"/>
      <c r="CD677" s="4"/>
      <c r="CE677" s="4"/>
      <c r="CF677" s="4"/>
    </row>
    <row r="678" spans="1:84" x14ac:dyDescent="0.3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S678" s="4"/>
      <c r="BT678" s="4"/>
      <c r="BU678" s="4"/>
      <c r="BV678" s="4"/>
      <c r="BW678" s="4"/>
      <c r="BX678" s="4"/>
      <c r="BY678" s="4"/>
      <c r="BZ678" s="4"/>
      <c r="CA678" s="4"/>
      <c r="CB678" s="4"/>
      <c r="CC678" s="4"/>
      <c r="CD678" s="4"/>
      <c r="CE678" s="4"/>
      <c r="CF678" s="4"/>
    </row>
    <row r="679" spans="1:84" x14ac:dyDescent="0.3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S679" s="4"/>
      <c r="BT679" s="4"/>
      <c r="BU679" s="4"/>
      <c r="BV679" s="4"/>
      <c r="BW679" s="4"/>
      <c r="BX679" s="4"/>
      <c r="BY679" s="4"/>
      <c r="BZ679" s="4"/>
      <c r="CA679" s="4"/>
      <c r="CB679" s="4"/>
      <c r="CC679" s="4"/>
      <c r="CD679" s="4"/>
      <c r="CE679" s="4"/>
      <c r="CF679" s="4"/>
    </row>
    <row r="680" spans="1:84" x14ac:dyDescent="0.3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S680" s="4"/>
      <c r="BT680" s="4"/>
      <c r="BU680" s="4"/>
      <c r="BV680" s="4"/>
      <c r="BW680" s="4"/>
      <c r="BX680" s="4"/>
      <c r="BY680" s="4"/>
      <c r="BZ680" s="4"/>
      <c r="CA680" s="4"/>
      <c r="CB680" s="4"/>
      <c r="CC680" s="4"/>
      <c r="CD680" s="4"/>
      <c r="CE680" s="4"/>
      <c r="CF680" s="4"/>
    </row>
    <row r="681" spans="1:84" x14ac:dyDescent="0.3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S681" s="4"/>
      <c r="BT681" s="4"/>
      <c r="BU681" s="4"/>
      <c r="BV681" s="4"/>
      <c r="BW681" s="4"/>
      <c r="BX681" s="4"/>
      <c r="BY681" s="4"/>
      <c r="BZ681" s="4"/>
      <c r="CA681" s="4"/>
      <c r="CB681" s="4"/>
      <c r="CC681" s="4"/>
      <c r="CD681" s="4"/>
      <c r="CE681" s="4"/>
      <c r="CF681" s="4"/>
    </row>
    <row r="682" spans="1:84" x14ac:dyDescent="0.3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S682" s="4"/>
      <c r="BT682" s="4"/>
      <c r="BU682" s="4"/>
      <c r="BV682" s="4"/>
      <c r="BW682" s="4"/>
      <c r="BX682" s="4"/>
      <c r="BY682" s="4"/>
      <c r="BZ682" s="4"/>
      <c r="CA682" s="4"/>
      <c r="CB682" s="4"/>
      <c r="CC682" s="4"/>
      <c r="CD682" s="4"/>
      <c r="CE682" s="4"/>
      <c r="CF682" s="4"/>
    </row>
    <row r="683" spans="1:84" x14ac:dyDescent="0.3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S683" s="4"/>
      <c r="BT683" s="4"/>
      <c r="BU683" s="4"/>
      <c r="BV683" s="4"/>
      <c r="BW683" s="4"/>
      <c r="BX683" s="4"/>
      <c r="BY683" s="4"/>
      <c r="BZ683" s="4"/>
      <c r="CA683" s="4"/>
      <c r="CB683" s="4"/>
      <c r="CC683" s="4"/>
      <c r="CD683" s="4"/>
      <c r="CE683" s="4"/>
      <c r="CF683" s="4"/>
    </row>
    <row r="684" spans="1:84" x14ac:dyDescent="0.3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c r="BL684" s="4"/>
      <c r="BS684" s="4"/>
      <c r="BT684" s="4"/>
      <c r="BU684" s="4"/>
      <c r="BV684" s="4"/>
      <c r="BW684" s="4"/>
      <c r="BX684" s="4"/>
      <c r="BY684" s="4"/>
      <c r="BZ684" s="4"/>
      <c r="CA684" s="4"/>
      <c r="CB684" s="4"/>
      <c r="CC684" s="4"/>
      <c r="CD684" s="4"/>
      <c r="CE684" s="4"/>
      <c r="CF684" s="4"/>
    </row>
    <row r="685" spans="1:84" x14ac:dyDescent="0.3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c r="BL685" s="4"/>
      <c r="BS685" s="4"/>
      <c r="BT685" s="4"/>
      <c r="BU685" s="4"/>
      <c r="BV685" s="4"/>
      <c r="BW685" s="4"/>
      <c r="BX685" s="4"/>
      <c r="BY685" s="4"/>
      <c r="BZ685" s="4"/>
      <c r="CA685" s="4"/>
      <c r="CB685" s="4"/>
      <c r="CC685" s="4"/>
      <c r="CD685" s="4"/>
      <c r="CE685" s="4"/>
      <c r="CF685" s="4"/>
    </row>
    <row r="686" spans="1:84" x14ac:dyDescent="0.3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s="4"/>
      <c r="BD686" s="4"/>
      <c r="BE686" s="4"/>
      <c r="BF686" s="4"/>
      <c r="BG686" s="4"/>
      <c r="BH686" s="4"/>
      <c r="BI686" s="4"/>
      <c r="BJ686" s="4"/>
      <c r="BK686" s="4"/>
      <c r="BL686" s="4"/>
      <c r="BS686" s="4"/>
      <c r="BT686" s="4"/>
      <c r="BU686" s="4"/>
      <c r="BV686" s="4"/>
      <c r="BW686" s="4"/>
      <c r="BX686" s="4"/>
      <c r="BY686" s="4"/>
      <c r="BZ686" s="4"/>
      <c r="CA686" s="4"/>
      <c r="CB686" s="4"/>
      <c r="CC686" s="4"/>
      <c r="CD686" s="4"/>
      <c r="CE686" s="4"/>
      <c r="CF686" s="4"/>
    </row>
    <row r="687" spans="1:84" x14ac:dyDescent="0.3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s="4"/>
      <c r="BD687" s="4"/>
      <c r="BE687" s="4"/>
      <c r="BF687" s="4"/>
      <c r="BG687" s="4"/>
      <c r="BH687" s="4"/>
      <c r="BI687" s="4"/>
      <c r="BJ687" s="4"/>
      <c r="BK687" s="4"/>
      <c r="BL687" s="4"/>
      <c r="BS687" s="4"/>
      <c r="BT687" s="4"/>
      <c r="BU687" s="4"/>
      <c r="BV687" s="4"/>
      <c r="BW687" s="4"/>
      <c r="BX687" s="4"/>
      <c r="BY687" s="4"/>
      <c r="BZ687" s="4"/>
      <c r="CA687" s="4"/>
      <c r="CB687" s="4"/>
      <c r="CC687" s="4"/>
      <c r="CD687" s="4"/>
      <c r="CE687" s="4"/>
      <c r="CF687" s="4"/>
    </row>
    <row r="688" spans="1:84" x14ac:dyDescent="0.3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s="4"/>
      <c r="BD688" s="4"/>
      <c r="BE688" s="4"/>
      <c r="BF688" s="4"/>
      <c r="BG688" s="4"/>
      <c r="BH688" s="4"/>
      <c r="BI688" s="4"/>
      <c r="BJ688" s="4"/>
      <c r="BK688" s="4"/>
      <c r="BL688" s="4"/>
      <c r="BS688" s="4"/>
      <c r="BT688" s="4"/>
      <c r="BU688" s="4"/>
      <c r="BV688" s="4"/>
      <c r="BW688" s="4"/>
      <c r="BX688" s="4"/>
      <c r="BY688" s="4"/>
      <c r="BZ688" s="4"/>
      <c r="CA688" s="4"/>
      <c r="CB688" s="4"/>
      <c r="CC688" s="4"/>
      <c r="CD688" s="4"/>
      <c r="CE688" s="4"/>
      <c r="CF688" s="4"/>
    </row>
    <row r="689" spans="1:84" x14ac:dyDescent="0.3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s="4"/>
      <c r="BD689" s="4"/>
      <c r="BE689" s="4"/>
      <c r="BF689" s="4"/>
      <c r="BG689" s="4"/>
      <c r="BH689" s="4"/>
      <c r="BI689" s="4"/>
      <c r="BJ689" s="4"/>
      <c r="BK689" s="4"/>
      <c r="BL689" s="4"/>
      <c r="BS689" s="4"/>
      <c r="BT689" s="4"/>
      <c r="BU689" s="4"/>
      <c r="BV689" s="4"/>
      <c r="BW689" s="4"/>
      <c r="BX689" s="4"/>
      <c r="BY689" s="4"/>
      <c r="BZ689" s="4"/>
      <c r="CA689" s="4"/>
      <c r="CB689" s="4"/>
      <c r="CC689" s="4"/>
      <c r="CD689" s="4"/>
      <c r="CE689" s="4"/>
      <c r="CF689" s="4"/>
    </row>
    <row r="690" spans="1:84" x14ac:dyDescent="0.3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s="4"/>
      <c r="BD690" s="4"/>
      <c r="BE690" s="4"/>
      <c r="BF690" s="4"/>
      <c r="BG690" s="4"/>
      <c r="BH690" s="4"/>
      <c r="BI690" s="4"/>
      <c r="BJ690" s="4"/>
      <c r="BK690" s="4"/>
      <c r="BL690" s="4"/>
      <c r="BS690" s="4"/>
      <c r="BT690" s="4"/>
      <c r="BU690" s="4"/>
      <c r="BV690" s="4"/>
      <c r="BW690" s="4"/>
      <c r="BX690" s="4"/>
      <c r="BY690" s="4"/>
      <c r="BZ690" s="4"/>
      <c r="CA690" s="4"/>
      <c r="CB690" s="4"/>
      <c r="CC690" s="4"/>
      <c r="CD690" s="4"/>
      <c r="CE690" s="4"/>
      <c r="CF690" s="4"/>
    </row>
    <row r="691" spans="1:84" x14ac:dyDescent="0.3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s="4"/>
      <c r="BD691" s="4"/>
      <c r="BE691" s="4"/>
      <c r="BF691" s="4"/>
      <c r="BG691" s="4"/>
      <c r="BH691" s="4"/>
      <c r="BI691" s="4"/>
      <c r="BJ691" s="4"/>
      <c r="BK691" s="4"/>
      <c r="BL691" s="4"/>
      <c r="BS691" s="4"/>
      <c r="BT691" s="4"/>
      <c r="BU691" s="4"/>
      <c r="BV691" s="4"/>
      <c r="BW691" s="4"/>
      <c r="BX691" s="4"/>
      <c r="BY691" s="4"/>
      <c r="BZ691" s="4"/>
      <c r="CA691" s="4"/>
      <c r="CB691" s="4"/>
      <c r="CC691" s="4"/>
      <c r="CD691" s="4"/>
      <c r="CE691" s="4"/>
      <c r="CF691" s="4"/>
    </row>
    <row r="692" spans="1:84" x14ac:dyDescent="0.3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c r="BB692" s="4"/>
      <c r="BC692" s="4"/>
      <c r="BD692" s="4"/>
      <c r="BE692" s="4"/>
      <c r="BF692" s="4"/>
      <c r="BG692" s="4"/>
      <c r="BH692" s="4"/>
      <c r="BI692" s="4"/>
      <c r="BJ692" s="4"/>
      <c r="BK692" s="4"/>
      <c r="BL692" s="4"/>
      <c r="BS692" s="4"/>
      <c r="BT692" s="4"/>
      <c r="BU692" s="4"/>
      <c r="BV692" s="4"/>
      <c r="BW692" s="4"/>
      <c r="BX692" s="4"/>
      <c r="BY692" s="4"/>
      <c r="BZ692" s="4"/>
      <c r="CA692" s="4"/>
      <c r="CB692" s="4"/>
      <c r="CC692" s="4"/>
      <c r="CD692" s="4"/>
      <c r="CE692" s="4"/>
      <c r="CF692" s="4"/>
    </row>
    <row r="693" spans="1:84" x14ac:dyDescent="0.3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c r="BB693" s="4"/>
      <c r="BC693" s="4"/>
      <c r="BD693" s="4"/>
      <c r="BE693" s="4"/>
      <c r="BF693" s="4"/>
      <c r="BG693" s="4"/>
      <c r="BH693" s="4"/>
      <c r="BI693" s="4"/>
      <c r="BJ693" s="4"/>
      <c r="BK693" s="4"/>
      <c r="BL693" s="4"/>
      <c r="BS693" s="4"/>
      <c r="BT693" s="4"/>
      <c r="BU693" s="4"/>
      <c r="BV693" s="4"/>
      <c r="BW693" s="4"/>
      <c r="BX693" s="4"/>
      <c r="BY693" s="4"/>
      <c r="BZ693" s="4"/>
      <c r="CA693" s="4"/>
      <c r="CB693" s="4"/>
      <c r="CC693" s="4"/>
      <c r="CD693" s="4"/>
      <c r="CE693" s="4"/>
      <c r="CF693" s="4"/>
    </row>
    <row r="694" spans="1:84" x14ac:dyDescent="0.3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c r="BB694" s="4"/>
      <c r="BC694" s="4"/>
      <c r="BD694" s="4"/>
      <c r="BE694" s="4"/>
      <c r="BF694" s="4"/>
      <c r="BG694" s="4"/>
      <c r="BH694" s="4"/>
      <c r="BI694" s="4"/>
      <c r="BJ694" s="4"/>
      <c r="BK694" s="4"/>
      <c r="BL694" s="4"/>
      <c r="BS694" s="4"/>
      <c r="BT694" s="4"/>
      <c r="BU694" s="4"/>
      <c r="BV694" s="4"/>
      <c r="BW694" s="4"/>
      <c r="BX694" s="4"/>
      <c r="BY694" s="4"/>
      <c r="BZ694" s="4"/>
      <c r="CA694" s="4"/>
      <c r="CB694" s="4"/>
      <c r="CC694" s="4"/>
      <c r="CD694" s="4"/>
      <c r="CE694" s="4"/>
      <c r="CF694" s="4"/>
    </row>
    <row r="695" spans="1:84" x14ac:dyDescent="0.3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c r="BB695" s="4"/>
      <c r="BC695" s="4"/>
      <c r="BD695" s="4"/>
      <c r="BE695" s="4"/>
      <c r="BF695" s="4"/>
      <c r="BG695" s="4"/>
      <c r="BH695" s="4"/>
      <c r="BI695" s="4"/>
      <c r="BJ695" s="4"/>
      <c r="BK695" s="4"/>
      <c r="BL695" s="4"/>
      <c r="BS695" s="4"/>
      <c r="BT695" s="4"/>
      <c r="BU695" s="4"/>
      <c r="BV695" s="4"/>
      <c r="BW695" s="4"/>
      <c r="BX695" s="4"/>
      <c r="BY695" s="4"/>
      <c r="BZ695" s="4"/>
      <c r="CA695" s="4"/>
      <c r="CB695" s="4"/>
      <c r="CC695" s="4"/>
      <c r="CD695" s="4"/>
      <c r="CE695" s="4"/>
      <c r="CF695" s="4"/>
    </row>
    <row r="696" spans="1:84" x14ac:dyDescent="0.3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c r="BB696" s="4"/>
      <c r="BC696" s="4"/>
      <c r="BD696" s="4"/>
      <c r="BE696" s="4"/>
      <c r="BF696" s="4"/>
      <c r="BG696" s="4"/>
      <c r="BH696" s="4"/>
      <c r="BI696" s="4"/>
      <c r="BJ696" s="4"/>
      <c r="BK696" s="4"/>
      <c r="BL696" s="4"/>
      <c r="BS696" s="4"/>
      <c r="BT696" s="4"/>
      <c r="BU696" s="4"/>
      <c r="BV696" s="4"/>
      <c r="BW696" s="4"/>
      <c r="BX696" s="4"/>
      <c r="BY696" s="4"/>
      <c r="BZ696" s="4"/>
      <c r="CA696" s="4"/>
      <c r="CB696" s="4"/>
      <c r="CC696" s="4"/>
      <c r="CD696" s="4"/>
      <c r="CE696" s="4"/>
      <c r="CF696" s="4"/>
    </row>
    <row r="697" spans="1:84" x14ac:dyDescent="0.3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c r="BB697" s="4"/>
      <c r="BC697" s="4"/>
      <c r="BD697" s="4"/>
      <c r="BE697" s="4"/>
      <c r="BF697" s="4"/>
      <c r="BG697" s="4"/>
      <c r="BH697" s="4"/>
      <c r="BI697" s="4"/>
      <c r="BJ697" s="4"/>
      <c r="BK697" s="4"/>
      <c r="BL697" s="4"/>
      <c r="BS697" s="4"/>
      <c r="BT697" s="4"/>
      <c r="BU697" s="4"/>
      <c r="BV697" s="4"/>
      <c r="BW697" s="4"/>
      <c r="BX697" s="4"/>
      <c r="BY697" s="4"/>
      <c r="BZ697" s="4"/>
      <c r="CA697" s="4"/>
      <c r="CB697" s="4"/>
      <c r="CC697" s="4"/>
      <c r="CD697" s="4"/>
      <c r="CE697" s="4"/>
      <c r="CF697" s="4"/>
    </row>
    <row r="698" spans="1:84" x14ac:dyDescent="0.3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c r="BB698" s="4"/>
      <c r="BC698" s="4"/>
      <c r="BD698" s="4"/>
      <c r="BE698" s="4"/>
      <c r="BF698" s="4"/>
      <c r="BG698" s="4"/>
      <c r="BH698" s="4"/>
      <c r="BI698" s="4"/>
      <c r="BJ698" s="4"/>
      <c r="BK698" s="4"/>
      <c r="BL698" s="4"/>
      <c r="BS698" s="4"/>
      <c r="BT698" s="4"/>
      <c r="BU698" s="4"/>
      <c r="BV698" s="4"/>
      <c r="BW698" s="4"/>
      <c r="BX698" s="4"/>
      <c r="BY698" s="4"/>
      <c r="BZ698" s="4"/>
      <c r="CA698" s="4"/>
      <c r="CB698" s="4"/>
      <c r="CC698" s="4"/>
      <c r="CD698" s="4"/>
      <c r="CE698" s="4"/>
      <c r="CF698" s="4"/>
    </row>
    <row r="699" spans="1:84" x14ac:dyDescent="0.3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s="4"/>
      <c r="BD699" s="4"/>
      <c r="BE699" s="4"/>
      <c r="BF699" s="4"/>
      <c r="BG699" s="4"/>
      <c r="BH699" s="4"/>
      <c r="BI699" s="4"/>
      <c r="BJ699" s="4"/>
      <c r="BK699" s="4"/>
      <c r="BL699" s="4"/>
      <c r="BS699" s="4"/>
      <c r="BT699" s="4"/>
      <c r="BU699" s="4"/>
      <c r="BV699" s="4"/>
      <c r="BW699" s="4"/>
      <c r="BX699" s="4"/>
      <c r="BY699" s="4"/>
      <c r="BZ699" s="4"/>
      <c r="CA699" s="4"/>
      <c r="CB699" s="4"/>
      <c r="CC699" s="4"/>
      <c r="CD699" s="4"/>
      <c r="CE699" s="4"/>
      <c r="CF699" s="4"/>
    </row>
    <row r="700" spans="1:84" x14ac:dyDescent="0.3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s="4"/>
      <c r="BD700" s="4"/>
      <c r="BE700" s="4"/>
      <c r="BF700" s="4"/>
      <c r="BG700" s="4"/>
      <c r="BH700" s="4"/>
      <c r="BI700" s="4"/>
      <c r="BJ700" s="4"/>
      <c r="BK700" s="4"/>
      <c r="BL700" s="4"/>
      <c r="BS700" s="4"/>
      <c r="BT700" s="4"/>
      <c r="BU700" s="4"/>
      <c r="BV700" s="4"/>
      <c r="BW700" s="4"/>
      <c r="BX700" s="4"/>
      <c r="BY700" s="4"/>
      <c r="BZ700" s="4"/>
      <c r="CA700" s="4"/>
      <c r="CB700" s="4"/>
      <c r="CC700" s="4"/>
      <c r="CD700" s="4"/>
      <c r="CE700" s="4"/>
      <c r="CF700" s="4"/>
    </row>
    <row r="701" spans="1:84" x14ac:dyDescent="0.3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c r="BL701" s="4"/>
      <c r="BS701" s="4"/>
      <c r="BT701" s="4"/>
      <c r="BU701" s="4"/>
      <c r="BV701" s="4"/>
      <c r="BW701" s="4"/>
      <c r="BX701" s="4"/>
      <c r="BY701" s="4"/>
      <c r="BZ701" s="4"/>
      <c r="CA701" s="4"/>
      <c r="CB701" s="4"/>
      <c r="CC701" s="4"/>
      <c r="CD701" s="4"/>
      <c r="CE701" s="4"/>
      <c r="CF701" s="4"/>
    </row>
    <row r="702" spans="1:84" x14ac:dyDescent="0.3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c r="BL702" s="4"/>
      <c r="BS702" s="4"/>
      <c r="BT702" s="4"/>
      <c r="BU702" s="4"/>
      <c r="BV702" s="4"/>
      <c r="BW702" s="4"/>
      <c r="BX702" s="4"/>
      <c r="BY702" s="4"/>
      <c r="BZ702" s="4"/>
      <c r="CA702" s="4"/>
      <c r="CB702" s="4"/>
      <c r="CC702" s="4"/>
      <c r="CD702" s="4"/>
      <c r="CE702" s="4"/>
      <c r="CF702" s="4"/>
    </row>
    <row r="703" spans="1:84" x14ac:dyDescent="0.3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s="4"/>
      <c r="BD703" s="4"/>
      <c r="BE703" s="4"/>
      <c r="BF703" s="4"/>
      <c r="BG703" s="4"/>
      <c r="BH703" s="4"/>
      <c r="BI703" s="4"/>
      <c r="BJ703" s="4"/>
      <c r="BK703" s="4"/>
      <c r="BL703" s="4"/>
      <c r="BS703" s="4"/>
      <c r="BT703" s="4"/>
      <c r="BU703" s="4"/>
      <c r="BV703" s="4"/>
      <c r="BW703" s="4"/>
      <c r="BX703" s="4"/>
      <c r="BY703" s="4"/>
      <c r="BZ703" s="4"/>
      <c r="CA703" s="4"/>
      <c r="CB703" s="4"/>
      <c r="CC703" s="4"/>
      <c r="CD703" s="4"/>
      <c r="CE703" s="4"/>
      <c r="CF703" s="4"/>
    </row>
    <row r="704" spans="1:84" x14ac:dyDescent="0.3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c r="BL704" s="4"/>
      <c r="BS704" s="4"/>
      <c r="BT704" s="4"/>
      <c r="BU704" s="4"/>
      <c r="BV704" s="4"/>
      <c r="BW704" s="4"/>
      <c r="BX704" s="4"/>
      <c r="BY704" s="4"/>
      <c r="BZ704" s="4"/>
      <c r="CA704" s="4"/>
      <c r="CB704" s="4"/>
      <c r="CC704" s="4"/>
      <c r="CD704" s="4"/>
      <c r="CE704" s="4"/>
      <c r="CF704" s="4"/>
    </row>
    <row r="705" spans="1:84" x14ac:dyDescent="0.3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c r="BL705" s="4"/>
      <c r="BS705" s="4"/>
      <c r="BT705" s="4"/>
      <c r="BU705" s="4"/>
      <c r="BV705" s="4"/>
      <c r="BW705" s="4"/>
      <c r="BX705" s="4"/>
      <c r="BY705" s="4"/>
      <c r="BZ705" s="4"/>
      <c r="CA705" s="4"/>
      <c r="CB705" s="4"/>
      <c r="CC705" s="4"/>
      <c r="CD705" s="4"/>
      <c r="CE705" s="4"/>
      <c r="CF705" s="4"/>
    </row>
    <row r="706" spans="1:84" x14ac:dyDescent="0.3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c r="BL706" s="4"/>
      <c r="BS706" s="4"/>
      <c r="BT706" s="4"/>
      <c r="BU706" s="4"/>
      <c r="BV706" s="4"/>
      <c r="BW706" s="4"/>
      <c r="BX706" s="4"/>
      <c r="BY706" s="4"/>
      <c r="BZ706" s="4"/>
      <c r="CA706" s="4"/>
      <c r="CB706" s="4"/>
      <c r="CC706" s="4"/>
      <c r="CD706" s="4"/>
      <c r="CE706" s="4"/>
      <c r="CF706" s="4"/>
    </row>
    <row r="707" spans="1:84" x14ac:dyDescent="0.3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c r="BL707" s="4"/>
      <c r="BS707" s="4"/>
      <c r="BT707" s="4"/>
      <c r="BU707" s="4"/>
      <c r="BV707" s="4"/>
      <c r="BW707" s="4"/>
      <c r="BX707" s="4"/>
      <c r="BY707" s="4"/>
      <c r="BZ707" s="4"/>
      <c r="CA707" s="4"/>
      <c r="CB707" s="4"/>
      <c r="CC707" s="4"/>
      <c r="CD707" s="4"/>
      <c r="CE707" s="4"/>
      <c r="CF707" s="4"/>
    </row>
    <row r="708" spans="1:84" x14ac:dyDescent="0.3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s="4"/>
      <c r="BD708" s="4"/>
      <c r="BE708" s="4"/>
      <c r="BF708" s="4"/>
      <c r="BG708" s="4"/>
      <c r="BH708" s="4"/>
      <c r="BI708" s="4"/>
      <c r="BJ708" s="4"/>
      <c r="BK708" s="4"/>
      <c r="BL708" s="4"/>
      <c r="BS708" s="4"/>
      <c r="BT708" s="4"/>
      <c r="BU708" s="4"/>
      <c r="BV708" s="4"/>
      <c r="BW708" s="4"/>
      <c r="BX708" s="4"/>
      <c r="BY708" s="4"/>
      <c r="BZ708" s="4"/>
      <c r="CA708" s="4"/>
      <c r="CB708" s="4"/>
      <c r="CC708" s="4"/>
      <c r="CD708" s="4"/>
      <c r="CE708" s="4"/>
      <c r="CF708" s="4"/>
    </row>
    <row r="709" spans="1:84" x14ac:dyDescent="0.3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c r="BL709" s="4"/>
      <c r="BS709" s="4"/>
      <c r="BT709" s="4"/>
      <c r="BU709" s="4"/>
      <c r="BV709" s="4"/>
      <c r="BW709" s="4"/>
      <c r="BX709" s="4"/>
      <c r="BY709" s="4"/>
      <c r="BZ709" s="4"/>
      <c r="CA709" s="4"/>
      <c r="CB709" s="4"/>
      <c r="CC709" s="4"/>
      <c r="CD709" s="4"/>
      <c r="CE709" s="4"/>
      <c r="CF709" s="4"/>
    </row>
    <row r="710" spans="1:84" x14ac:dyDescent="0.3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c r="BL710" s="4"/>
      <c r="BS710" s="4"/>
      <c r="BT710" s="4"/>
      <c r="BU710" s="4"/>
      <c r="BV710" s="4"/>
      <c r="BW710" s="4"/>
      <c r="BX710" s="4"/>
      <c r="BY710" s="4"/>
      <c r="BZ710" s="4"/>
      <c r="CA710" s="4"/>
      <c r="CB710" s="4"/>
      <c r="CC710" s="4"/>
      <c r="CD710" s="4"/>
      <c r="CE710" s="4"/>
      <c r="CF710" s="4"/>
    </row>
    <row r="711" spans="1:84" x14ac:dyDescent="0.3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s="4"/>
      <c r="BD711" s="4"/>
      <c r="BE711" s="4"/>
      <c r="BF711" s="4"/>
      <c r="BG711" s="4"/>
      <c r="BH711" s="4"/>
      <c r="BI711" s="4"/>
      <c r="BJ711" s="4"/>
      <c r="BK711" s="4"/>
      <c r="BL711" s="4"/>
      <c r="BS711" s="4"/>
      <c r="BT711" s="4"/>
      <c r="BU711" s="4"/>
      <c r="BV711" s="4"/>
      <c r="BW711" s="4"/>
      <c r="BX711" s="4"/>
      <c r="BY711" s="4"/>
      <c r="BZ711" s="4"/>
      <c r="CA711" s="4"/>
      <c r="CB711" s="4"/>
      <c r="CC711" s="4"/>
      <c r="CD711" s="4"/>
      <c r="CE711" s="4"/>
      <c r="CF711" s="4"/>
    </row>
    <row r="712" spans="1:84" x14ac:dyDescent="0.3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c r="BB712" s="4"/>
      <c r="BC712" s="4"/>
      <c r="BD712" s="4"/>
      <c r="BE712" s="4"/>
      <c r="BF712" s="4"/>
      <c r="BG712" s="4"/>
      <c r="BH712" s="4"/>
      <c r="BI712" s="4"/>
      <c r="BJ712" s="4"/>
      <c r="BK712" s="4"/>
      <c r="BL712" s="4"/>
      <c r="BS712" s="4"/>
      <c r="BT712" s="4"/>
      <c r="BU712" s="4"/>
      <c r="BV712" s="4"/>
      <c r="BW712" s="4"/>
      <c r="BX712" s="4"/>
      <c r="BY712" s="4"/>
      <c r="BZ712" s="4"/>
      <c r="CA712" s="4"/>
      <c r="CB712" s="4"/>
      <c r="CC712" s="4"/>
      <c r="CD712" s="4"/>
      <c r="CE712" s="4"/>
      <c r="CF712" s="4"/>
    </row>
    <row r="713" spans="1:84" x14ac:dyDescent="0.3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c r="BB713" s="4"/>
      <c r="BC713" s="4"/>
      <c r="BD713" s="4"/>
      <c r="BE713" s="4"/>
      <c r="BF713" s="4"/>
      <c r="BG713" s="4"/>
      <c r="BH713" s="4"/>
      <c r="BI713" s="4"/>
      <c r="BJ713" s="4"/>
      <c r="BK713" s="4"/>
      <c r="BL713" s="4"/>
      <c r="BS713" s="4"/>
      <c r="BT713" s="4"/>
      <c r="BU713" s="4"/>
      <c r="BV713" s="4"/>
      <c r="BW713" s="4"/>
      <c r="BX713" s="4"/>
      <c r="BY713" s="4"/>
      <c r="BZ713" s="4"/>
      <c r="CA713" s="4"/>
      <c r="CB713" s="4"/>
      <c r="CC713" s="4"/>
      <c r="CD713" s="4"/>
      <c r="CE713" s="4"/>
      <c r="CF713" s="4"/>
    </row>
    <row r="714" spans="1:84" x14ac:dyDescent="0.3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c r="BB714" s="4"/>
      <c r="BC714" s="4"/>
      <c r="BD714" s="4"/>
      <c r="BE714" s="4"/>
      <c r="BF714" s="4"/>
      <c r="BG714" s="4"/>
      <c r="BH714" s="4"/>
      <c r="BI714" s="4"/>
      <c r="BJ714" s="4"/>
      <c r="BK714" s="4"/>
      <c r="BL714" s="4"/>
      <c r="BS714" s="4"/>
      <c r="BT714" s="4"/>
      <c r="BU714" s="4"/>
      <c r="BV714" s="4"/>
      <c r="BW714" s="4"/>
      <c r="BX714" s="4"/>
      <c r="BY714" s="4"/>
      <c r="BZ714" s="4"/>
      <c r="CA714" s="4"/>
      <c r="CB714" s="4"/>
      <c r="CC714" s="4"/>
      <c r="CD714" s="4"/>
      <c r="CE714" s="4"/>
      <c r="CF714" s="4"/>
    </row>
    <row r="715" spans="1:84" x14ac:dyDescent="0.3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c r="BB715" s="4"/>
      <c r="BC715" s="4"/>
      <c r="BD715" s="4"/>
      <c r="BE715" s="4"/>
      <c r="BF715" s="4"/>
      <c r="BG715" s="4"/>
      <c r="BH715" s="4"/>
      <c r="BI715" s="4"/>
      <c r="BJ715" s="4"/>
      <c r="BK715" s="4"/>
      <c r="BL715" s="4"/>
      <c r="BS715" s="4"/>
      <c r="BT715" s="4"/>
      <c r="BU715" s="4"/>
      <c r="BV715" s="4"/>
      <c r="BW715" s="4"/>
      <c r="BX715" s="4"/>
      <c r="BY715" s="4"/>
      <c r="BZ715" s="4"/>
      <c r="CA715" s="4"/>
      <c r="CB715" s="4"/>
      <c r="CC715" s="4"/>
      <c r="CD715" s="4"/>
      <c r="CE715" s="4"/>
      <c r="CF715" s="4"/>
    </row>
    <row r="716" spans="1:84" x14ac:dyDescent="0.3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c r="BB716" s="4"/>
      <c r="BC716" s="4"/>
      <c r="BD716" s="4"/>
      <c r="BE716" s="4"/>
      <c r="BF716" s="4"/>
      <c r="BG716" s="4"/>
      <c r="BH716" s="4"/>
      <c r="BI716" s="4"/>
      <c r="BJ716" s="4"/>
      <c r="BK716" s="4"/>
      <c r="BL716" s="4"/>
      <c r="BS716" s="4"/>
      <c r="BT716" s="4"/>
      <c r="BU716" s="4"/>
      <c r="BV716" s="4"/>
      <c r="BW716" s="4"/>
      <c r="BX716" s="4"/>
      <c r="BY716" s="4"/>
      <c r="BZ716" s="4"/>
      <c r="CA716" s="4"/>
      <c r="CB716" s="4"/>
      <c r="CC716" s="4"/>
      <c r="CD716" s="4"/>
      <c r="CE716" s="4"/>
      <c r="CF716" s="4"/>
    </row>
    <row r="717" spans="1:84" x14ac:dyDescent="0.3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c r="BB717" s="4"/>
      <c r="BC717" s="4"/>
      <c r="BD717" s="4"/>
      <c r="BE717" s="4"/>
      <c r="BF717" s="4"/>
      <c r="BG717" s="4"/>
      <c r="BH717" s="4"/>
      <c r="BI717" s="4"/>
      <c r="BJ717" s="4"/>
      <c r="BK717" s="4"/>
      <c r="BL717" s="4"/>
      <c r="BS717" s="4"/>
      <c r="BT717" s="4"/>
      <c r="BU717" s="4"/>
      <c r="BV717" s="4"/>
      <c r="BW717" s="4"/>
      <c r="BX717" s="4"/>
      <c r="BY717" s="4"/>
      <c r="BZ717" s="4"/>
      <c r="CA717" s="4"/>
      <c r="CB717" s="4"/>
      <c r="CC717" s="4"/>
      <c r="CD717" s="4"/>
      <c r="CE717" s="4"/>
      <c r="CF717" s="4"/>
    </row>
    <row r="718" spans="1:84" x14ac:dyDescent="0.3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c r="BB718" s="4"/>
      <c r="BC718" s="4"/>
      <c r="BD718" s="4"/>
      <c r="BE718" s="4"/>
      <c r="BF718" s="4"/>
      <c r="BG718" s="4"/>
      <c r="BH718" s="4"/>
      <c r="BI718" s="4"/>
      <c r="BJ718" s="4"/>
      <c r="BK718" s="4"/>
      <c r="BL718" s="4"/>
      <c r="BS718" s="4"/>
      <c r="BT718" s="4"/>
      <c r="BU718" s="4"/>
      <c r="BV718" s="4"/>
      <c r="BW718" s="4"/>
      <c r="BX718" s="4"/>
      <c r="BY718" s="4"/>
      <c r="BZ718" s="4"/>
      <c r="CA718" s="4"/>
      <c r="CB718" s="4"/>
      <c r="CC718" s="4"/>
      <c r="CD718" s="4"/>
      <c r="CE718" s="4"/>
      <c r="CF718" s="4"/>
    </row>
    <row r="719" spans="1:84" x14ac:dyDescent="0.3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c r="BB719" s="4"/>
      <c r="BC719" s="4"/>
      <c r="BD719" s="4"/>
      <c r="BE719" s="4"/>
      <c r="BF719" s="4"/>
      <c r="BG719" s="4"/>
      <c r="BH719" s="4"/>
      <c r="BI719" s="4"/>
      <c r="BJ719" s="4"/>
      <c r="BK719" s="4"/>
      <c r="BL719" s="4"/>
      <c r="BS719" s="4"/>
      <c r="BT719" s="4"/>
      <c r="BU719" s="4"/>
      <c r="BV719" s="4"/>
      <c r="BW719" s="4"/>
      <c r="BX719" s="4"/>
      <c r="BY719" s="4"/>
      <c r="BZ719" s="4"/>
      <c r="CA719" s="4"/>
      <c r="CB719" s="4"/>
      <c r="CC719" s="4"/>
      <c r="CD719" s="4"/>
      <c r="CE719" s="4"/>
      <c r="CF719" s="4"/>
    </row>
    <row r="720" spans="1:84" x14ac:dyDescent="0.3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c r="BB720" s="4"/>
      <c r="BC720" s="4"/>
      <c r="BD720" s="4"/>
      <c r="BE720" s="4"/>
      <c r="BF720" s="4"/>
      <c r="BG720" s="4"/>
      <c r="BH720" s="4"/>
      <c r="BI720" s="4"/>
      <c r="BJ720" s="4"/>
      <c r="BK720" s="4"/>
      <c r="BL720" s="4"/>
      <c r="BS720" s="4"/>
      <c r="BT720" s="4"/>
      <c r="BU720" s="4"/>
      <c r="BV720" s="4"/>
      <c r="BW720" s="4"/>
      <c r="BX720" s="4"/>
      <c r="BY720" s="4"/>
      <c r="BZ720" s="4"/>
      <c r="CA720" s="4"/>
      <c r="CB720" s="4"/>
      <c r="CC720" s="4"/>
      <c r="CD720" s="4"/>
      <c r="CE720" s="4"/>
      <c r="CF720" s="4"/>
    </row>
    <row r="721" spans="1:84" x14ac:dyDescent="0.3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c r="BB721" s="4"/>
      <c r="BC721" s="4"/>
      <c r="BD721" s="4"/>
      <c r="BE721" s="4"/>
      <c r="BF721" s="4"/>
      <c r="BG721" s="4"/>
      <c r="BH721" s="4"/>
      <c r="BI721" s="4"/>
      <c r="BJ721" s="4"/>
      <c r="BK721" s="4"/>
      <c r="BL721" s="4"/>
      <c r="BS721" s="4"/>
      <c r="BT721" s="4"/>
      <c r="BU721" s="4"/>
      <c r="BV721" s="4"/>
      <c r="BW721" s="4"/>
      <c r="BX721" s="4"/>
      <c r="BY721" s="4"/>
      <c r="BZ721" s="4"/>
      <c r="CA721" s="4"/>
      <c r="CB721" s="4"/>
      <c r="CC721" s="4"/>
      <c r="CD721" s="4"/>
      <c r="CE721" s="4"/>
      <c r="CF721" s="4"/>
    </row>
    <row r="722" spans="1:84" x14ac:dyDescent="0.3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c r="BB722" s="4"/>
      <c r="BC722" s="4"/>
      <c r="BD722" s="4"/>
      <c r="BE722" s="4"/>
      <c r="BF722" s="4"/>
      <c r="BG722" s="4"/>
      <c r="BH722" s="4"/>
      <c r="BI722" s="4"/>
      <c r="BJ722" s="4"/>
      <c r="BK722" s="4"/>
      <c r="BL722" s="4"/>
      <c r="BS722" s="4"/>
      <c r="BT722" s="4"/>
      <c r="BU722" s="4"/>
      <c r="BV722" s="4"/>
      <c r="BW722" s="4"/>
      <c r="BX722" s="4"/>
      <c r="BY722" s="4"/>
      <c r="BZ722" s="4"/>
      <c r="CA722" s="4"/>
      <c r="CB722" s="4"/>
      <c r="CC722" s="4"/>
      <c r="CD722" s="4"/>
      <c r="CE722" s="4"/>
      <c r="CF722" s="4"/>
    </row>
    <row r="723" spans="1:84" x14ac:dyDescent="0.3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c r="BB723" s="4"/>
      <c r="BC723" s="4"/>
      <c r="BD723" s="4"/>
      <c r="BE723" s="4"/>
      <c r="BF723" s="4"/>
      <c r="BG723" s="4"/>
      <c r="BH723" s="4"/>
      <c r="BI723" s="4"/>
      <c r="BJ723" s="4"/>
      <c r="BK723" s="4"/>
      <c r="BL723" s="4"/>
      <c r="BS723" s="4"/>
      <c r="BT723" s="4"/>
      <c r="BU723" s="4"/>
      <c r="BV723" s="4"/>
      <c r="BW723" s="4"/>
      <c r="BX723" s="4"/>
      <c r="BY723" s="4"/>
      <c r="BZ723" s="4"/>
      <c r="CA723" s="4"/>
      <c r="CB723" s="4"/>
      <c r="CC723" s="4"/>
      <c r="CD723" s="4"/>
      <c r="CE723" s="4"/>
      <c r="CF723" s="4"/>
    </row>
    <row r="724" spans="1:84" x14ac:dyDescent="0.3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c r="BB724" s="4"/>
      <c r="BC724" s="4"/>
      <c r="BD724" s="4"/>
      <c r="BE724" s="4"/>
      <c r="BF724" s="4"/>
      <c r="BG724" s="4"/>
      <c r="BH724" s="4"/>
      <c r="BI724" s="4"/>
      <c r="BJ724" s="4"/>
      <c r="BK724" s="4"/>
      <c r="BL724" s="4"/>
      <c r="BS724" s="4"/>
      <c r="BT724" s="4"/>
      <c r="BU724" s="4"/>
      <c r="BV724" s="4"/>
      <c r="BW724" s="4"/>
      <c r="BX724" s="4"/>
      <c r="BY724" s="4"/>
      <c r="BZ724" s="4"/>
      <c r="CA724" s="4"/>
      <c r="CB724" s="4"/>
      <c r="CC724" s="4"/>
      <c r="CD724" s="4"/>
      <c r="CE724" s="4"/>
      <c r="CF724" s="4"/>
    </row>
    <row r="725" spans="1:84" x14ac:dyDescent="0.3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c r="BB725" s="4"/>
      <c r="BC725" s="4"/>
      <c r="BD725" s="4"/>
      <c r="BE725" s="4"/>
      <c r="BF725" s="4"/>
      <c r="BG725" s="4"/>
      <c r="BH725" s="4"/>
      <c r="BI725" s="4"/>
      <c r="BJ725" s="4"/>
      <c r="BK725" s="4"/>
      <c r="BL725" s="4"/>
      <c r="BS725" s="4"/>
      <c r="BT725" s="4"/>
      <c r="BU725" s="4"/>
      <c r="BV725" s="4"/>
      <c r="BW725" s="4"/>
      <c r="BX725" s="4"/>
      <c r="BY725" s="4"/>
      <c r="BZ725" s="4"/>
      <c r="CA725" s="4"/>
      <c r="CB725" s="4"/>
      <c r="CC725" s="4"/>
      <c r="CD725" s="4"/>
      <c r="CE725" s="4"/>
      <c r="CF725" s="4"/>
    </row>
    <row r="726" spans="1:84" x14ac:dyDescent="0.3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c r="BB726" s="4"/>
      <c r="BC726" s="4"/>
      <c r="BD726" s="4"/>
      <c r="BE726" s="4"/>
      <c r="BF726" s="4"/>
      <c r="BG726" s="4"/>
      <c r="BH726" s="4"/>
      <c r="BI726" s="4"/>
      <c r="BJ726" s="4"/>
      <c r="BK726" s="4"/>
      <c r="BL726" s="4"/>
      <c r="BS726" s="4"/>
      <c r="BT726" s="4"/>
      <c r="BU726" s="4"/>
      <c r="BV726" s="4"/>
      <c r="BW726" s="4"/>
      <c r="BX726" s="4"/>
      <c r="BY726" s="4"/>
      <c r="BZ726" s="4"/>
      <c r="CA726" s="4"/>
      <c r="CB726" s="4"/>
      <c r="CC726" s="4"/>
      <c r="CD726" s="4"/>
      <c r="CE726" s="4"/>
      <c r="CF726" s="4"/>
    </row>
    <row r="727" spans="1:84" x14ac:dyDescent="0.3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c r="BB727" s="4"/>
      <c r="BC727" s="4"/>
      <c r="BD727" s="4"/>
      <c r="BE727" s="4"/>
      <c r="BF727" s="4"/>
      <c r="BG727" s="4"/>
      <c r="BH727" s="4"/>
      <c r="BI727" s="4"/>
      <c r="BJ727" s="4"/>
      <c r="BK727" s="4"/>
      <c r="BL727" s="4"/>
      <c r="BS727" s="4"/>
      <c r="BT727" s="4"/>
      <c r="BU727" s="4"/>
      <c r="BV727" s="4"/>
      <c r="BW727" s="4"/>
      <c r="BX727" s="4"/>
      <c r="BY727" s="4"/>
      <c r="BZ727" s="4"/>
      <c r="CA727" s="4"/>
      <c r="CB727" s="4"/>
      <c r="CC727" s="4"/>
      <c r="CD727" s="4"/>
      <c r="CE727" s="4"/>
      <c r="CF727" s="4"/>
    </row>
    <row r="728" spans="1:84" x14ac:dyDescent="0.3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c r="BB728" s="4"/>
      <c r="BC728" s="4"/>
      <c r="BD728" s="4"/>
      <c r="BE728" s="4"/>
      <c r="BF728" s="4"/>
      <c r="BG728" s="4"/>
      <c r="BH728" s="4"/>
      <c r="BI728" s="4"/>
      <c r="BJ728" s="4"/>
      <c r="BK728" s="4"/>
      <c r="BL728" s="4"/>
      <c r="BS728" s="4"/>
      <c r="BT728" s="4"/>
      <c r="BU728" s="4"/>
      <c r="BV728" s="4"/>
      <c r="BW728" s="4"/>
      <c r="BX728" s="4"/>
      <c r="BY728" s="4"/>
      <c r="BZ728" s="4"/>
      <c r="CA728" s="4"/>
      <c r="CB728" s="4"/>
      <c r="CC728" s="4"/>
      <c r="CD728" s="4"/>
      <c r="CE728" s="4"/>
      <c r="CF728" s="4"/>
    </row>
    <row r="729" spans="1:84" x14ac:dyDescent="0.3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c r="BB729" s="4"/>
      <c r="BC729" s="4"/>
      <c r="BD729" s="4"/>
      <c r="BE729" s="4"/>
      <c r="BF729" s="4"/>
      <c r="BG729" s="4"/>
      <c r="BH729" s="4"/>
      <c r="BI729" s="4"/>
      <c r="BJ729" s="4"/>
      <c r="BK729" s="4"/>
      <c r="BL729" s="4"/>
      <c r="BS729" s="4"/>
      <c r="BT729" s="4"/>
      <c r="BU729" s="4"/>
      <c r="BV729" s="4"/>
      <c r="BW729" s="4"/>
      <c r="BX729" s="4"/>
      <c r="BY729" s="4"/>
      <c r="BZ729" s="4"/>
      <c r="CA729" s="4"/>
      <c r="CB729" s="4"/>
      <c r="CC729" s="4"/>
      <c r="CD729" s="4"/>
      <c r="CE729" s="4"/>
      <c r="CF729" s="4"/>
    </row>
    <row r="730" spans="1:84" x14ac:dyDescent="0.3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c r="BB730" s="4"/>
      <c r="BC730" s="4"/>
      <c r="BD730" s="4"/>
      <c r="BE730" s="4"/>
      <c r="BF730" s="4"/>
      <c r="BG730" s="4"/>
      <c r="BH730" s="4"/>
      <c r="BI730" s="4"/>
      <c r="BJ730" s="4"/>
      <c r="BK730" s="4"/>
      <c r="BL730" s="4"/>
      <c r="BS730" s="4"/>
      <c r="BT730" s="4"/>
      <c r="BU730" s="4"/>
      <c r="BV730" s="4"/>
      <c r="BW730" s="4"/>
      <c r="BX730" s="4"/>
      <c r="BY730" s="4"/>
      <c r="BZ730" s="4"/>
      <c r="CA730" s="4"/>
      <c r="CB730" s="4"/>
      <c r="CC730" s="4"/>
      <c r="CD730" s="4"/>
      <c r="CE730" s="4"/>
      <c r="CF730" s="4"/>
    </row>
    <row r="731" spans="1:84" x14ac:dyDescent="0.3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c r="BB731" s="4"/>
      <c r="BC731" s="4"/>
      <c r="BD731" s="4"/>
      <c r="BE731" s="4"/>
      <c r="BF731" s="4"/>
      <c r="BG731" s="4"/>
      <c r="BH731" s="4"/>
      <c r="BI731" s="4"/>
      <c r="BJ731" s="4"/>
      <c r="BK731" s="4"/>
      <c r="BL731" s="4"/>
      <c r="BS731" s="4"/>
      <c r="BT731" s="4"/>
      <c r="BU731" s="4"/>
      <c r="BV731" s="4"/>
      <c r="BW731" s="4"/>
      <c r="BX731" s="4"/>
      <c r="BY731" s="4"/>
      <c r="BZ731" s="4"/>
      <c r="CA731" s="4"/>
      <c r="CB731" s="4"/>
      <c r="CC731" s="4"/>
      <c r="CD731" s="4"/>
      <c r="CE731" s="4"/>
      <c r="CF731" s="4"/>
    </row>
    <row r="732" spans="1:84" x14ac:dyDescent="0.3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c r="BB732" s="4"/>
      <c r="BC732" s="4"/>
      <c r="BD732" s="4"/>
      <c r="BE732" s="4"/>
      <c r="BF732" s="4"/>
      <c r="BG732" s="4"/>
      <c r="BH732" s="4"/>
      <c r="BI732" s="4"/>
      <c r="BJ732" s="4"/>
      <c r="BK732" s="4"/>
      <c r="BL732" s="4"/>
      <c r="BS732" s="4"/>
      <c r="BT732" s="4"/>
      <c r="BU732" s="4"/>
      <c r="BV732" s="4"/>
      <c r="BW732" s="4"/>
      <c r="BX732" s="4"/>
      <c r="BY732" s="4"/>
      <c r="BZ732" s="4"/>
      <c r="CA732" s="4"/>
      <c r="CB732" s="4"/>
      <c r="CC732" s="4"/>
      <c r="CD732" s="4"/>
      <c r="CE732" s="4"/>
      <c r="CF732" s="4"/>
    </row>
    <row r="733" spans="1:84" x14ac:dyDescent="0.3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c r="BB733" s="4"/>
      <c r="BC733" s="4"/>
      <c r="BD733" s="4"/>
      <c r="BE733" s="4"/>
      <c r="BF733" s="4"/>
      <c r="BG733" s="4"/>
      <c r="BH733" s="4"/>
      <c r="BI733" s="4"/>
      <c r="BJ733" s="4"/>
      <c r="BK733" s="4"/>
      <c r="BL733" s="4"/>
      <c r="BS733" s="4"/>
      <c r="BT733" s="4"/>
      <c r="BU733" s="4"/>
      <c r="BV733" s="4"/>
      <c r="BW733" s="4"/>
      <c r="BX733" s="4"/>
      <c r="BY733" s="4"/>
      <c r="BZ733" s="4"/>
      <c r="CA733" s="4"/>
      <c r="CB733" s="4"/>
      <c r="CC733" s="4"/>
      <c r="CD733" s="4"/>
      <c r="CE733" s="4"/>
      <c r="CF733" s="4"/>
    </row>
    <row r="734" spans="1:84" x14ac:dyDescent="0.3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s="4"/>
      <c r="BD734" s="4"/>
      <c r="BE734" s="4"/>
      <c r="BF734" s="4"/>
      <c r="BG734" s="4"/>
      <c r="BH734" s="4"/>
      <c r="BI734" s="4"/>
      <c r="BJ734" s="4"/>
      <c r="BK734" s="4"/>
      <c r="BL734" s="4"/>
      <c r="BS734" s="4"/>
      <c r="BT734" s="4"/>
      <c r="BU734" s="4"/>
      <c r="BV734" s="4"/>
      <c r="BW734" s="4"/>
      <c r="BX734" s="4"/>
      <c r="BY734" s="4"/>
      <c r="BZ734" s="4"/>
      <c r="CA734" s="4"/>
      <c r="CB734" s="4"/>
      <c r="CC734" s="4"/>
      <c r="CD734" s="4"/>
      <c r="CE734" s="4"/>
      <c r="CF734" s="4"/>
    </row>
    <row r="735" spans="1:84" x14ac:dyDescent="0.3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s="4"/>
      <c r="BD735" s="4"/>
      <c r="BE735" s="4"/>
      <c r="BF735" s="4"/>
      <c r="BG735" s="4"/>
      <c r="BH735" s="4"/>
      <c r="BI735" s="4"/>
      <c r="BJ735" s="4"/>
      <c r="BK735" s="4"/>
      <c r="BL735" s="4"/>
      <c r="BS735" s="4"/>
      <c r="BT735" s="4"/>
      <c r="BU735" s="4"/>
      <c r="BV735" s="4"/>
      <c r="BW735" s="4"/>
      <c r="BX735" s="4"/>
      <c r="BY735" s="4"/>
      <c r="BZ735" s="4"/>
      <c r="CA735" s="4"/>
      <c r="CB735" s="4"/>
      <c r="CC735" s="4"/>
      <c r="CD735" s="4"/>
      <c r="CE735" s="4"/>
      <c r="CF735" s="4"/>
    </row>
    <row r="736" spans="1:84" x14ac:dyDescent="0.3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s="4"/>
      <c r="BD736" s="4"/>
      <c r="BE736" s="4"/>
      <c r="BF736" s="4"/>
      <c r="BG736" s="4"/>
      <c r="BH736" s="4"/>
      <c r="BI736" s="4"/>
      <c r="BJ736" s="4"/>
      <c r="BK736" s="4"/>
      <c r="BL736" s="4"/>
      <c r="BS736" s="4"/>
      <c r="BT736" s="4"/>
      <c r="BU736" s="4"/>
      <c r="BV736" s="4"/>
      <c r="BW736" s="4"/>
      <c r="BX736" s="4"/>
      <c r="BY736" s="4"/>
      <c r="BZ736" s="4"/>
      <c r="CA736" s="4"/>
      <c r="CB736" s="4"/>
      <c r="CC736" s="4"/>
      <c r="CD736" s="4"/>
      <c r="CE736" s="4"/>
      <c r="CF736" s="4"/>
    </row>
    <row r="737" spans="1:84" x14ac:dyDescent="0.3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s="4"/>
      <c r="BD737" s="4"/>
      <c r="BE737" s="4"/>
      <c r="BF737" s="4"/>
      <c r="BG737" s="4"/>
      <c r="BH737" s="4"/>
      <c r="BI737" s="4"/>
      <c r="BJ737" s="4"/>
      <c r="BK737" s="4"/>
      <c r="BL737" s="4"/>
      <c r="BS737" s="4"/>
      <c r="BT737" s="4"/>
      <c r="BU737" s="4"/>
      <c r="BV737" s="4"/>
      <c r="BW737" s="4"/>
      <c r="BX737" s="4"/>
      <c r="BY737" s="4"/>
      <c r="BZ737" s="4"/>
      <c r="CA737" s="4"/>
      <c r="CB737" s="4"/>
      <c r="CC737" s="4"/>
      <c r="CD737" s="4"/>
      <c r="CE737" s="4"/>
      <c r="CF737" s="4"/>
    </row>
    <row r="738" spans="1:84" x14ac:dyDescent="0.3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c r="BB738" s="4"/>
      <c r="BC738" s="4"/>
      <c r="BD738" s="4"/>
      <c r="BE738" s="4"/>
      <c r="BF738" s="4"/>
      <c r="BG738" s="4"/>
      <c r="BH738" s="4"/>
      <c r="BI738" s="4"/>
      <c r="BJ738" s="4"/>
      <c r="BK738" s="4"/>
      <c r="BL738" s="4"/>
      <c r="BS738" s="4"/>
      <c r="BT738" s="4"/>
      <c r="BU738" s="4"/>
      <c r="BV738" s="4"/>
      <c r="BW738" s="4"/>
      <c r="BX738" s="4"/>
      <c r="BY738" s="4"/>
      <c r="BZ738" s="4"/>
      <c r="CA738" s="4"/>
      <c r="CB738" s="4"/>
      <c r="CC738" s="4"/>
      <c r="CD738" s="4"/>
      <c r="CE738" s="4"/>
      <c r="CF738" s="4"/>
    </row>
    <row r="739" spans="1:84" x14ac:dyDescent="0.3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s="4"/>
      <c r="BD739" s="4"/>
      <c r="BE739" s="4"/>
      <c r="BF739" s="4"/>
      <c r="BG739" s="4"/>
      <c r="BH739" s="4"/>
      <c r="BI739" s="4"/>
      <c r="BJ739" s="4"/>
      <c r="BK739" s="4"/>
      <c r="BL739" s="4"/>
      <c r="BS739" s="4"/>
      <c r="BT739" s="4"/>
      <c r="BU739" s="4"/>
      <c r="BV739" s="4"/>
      <c r="BW739" s="4"/>
      <c r="BX739" s="4"/>
      <c r="BY739" s="4"/>
      <c r="BZ739" s="4"/>
      <c r="CA739" s="4"/>
      <c r="CB739" s="4"/>
      <c r="CC739" s="4"/>
      <c r="CD739" s="4"/>
      <c r="CE739" s="4"/>
      <c r="CF739" s="4"/>
    </row>
    <row r="740" spans="1:84" x14ac:dyDescent="0.3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s="4"/>
      <c r="BD740" s="4"/>
      <c r="BE740" s="4"/>
      <c r="BF740" s="4"/>
      <c r="BG740" s="4"/>
      <c r="BH740" s="4"/>
      <c r="BI740" s="4"/>
      <c r="BJ740" s="4"/>
      <c r="BK740" s="4"/>
      <c r="BL740" s="4"/>
      <c r="BS740" s="4"/>
      <c r="BT740" s="4"/>
      <c r="BU740" s="4"/>
      <c r="BV740" s="4"/>
      <c r="BW740" s="4"/>
      <c r="BX740" s="4"/>
      <c r="BY740" s="4"/>
      <c r="BZ740" s="4"/>
      <c r="CA740" s="4"/>
      <c r="CB740" s="4"/>
      <c r="CC740" s="4"/>
      <c r="CD740" s="4"/>
      <c r="CE740" s="4"/>
      <c r="CF740" s="4"/>
    </row>
    <row r="741" spans="1:84" x14ac:dyDescent="0.3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s="4"/>
      <c r="BD741" s="4"/>
      <c r="BE741" s="4"/>
      <c r="BF741" s="4"/>
      <c r="BG741" s="4"/>
      <c r="BH741" s="4"/>
      <c r="BI741" s="4"/>
      <c r="BJ741" s="4"/>
      <c r="BK741" s="4"/>
      <c r="BL741" s="4"/>
      <c r="BS741" s="4"/>
      <c r="BT741" s="4"/>
      <c r="BU741" s="4"/>
      <c r="BV741" s="4"/>
      <c r="BW741" s="4"/>
      <c r="BX741" s="4"/>
      <c r="BY741" s="4"/>
      <c r="BZ741" s="4"/>
      <c r="CA741" s="4"/>
      <c r="CB741" s="4"/>
      <c r="CC741" s="4"/>
      <c r="CD741" s="4"/>
      <c r="CE741" s="4"/>
      <c r="CF741" s="4"/>
    </row>
    <row r="742" spans="1:84" x14ac:dyDescent="0.3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s="4"/>
      <c r="BD742" s="4"/>
      <c r="BE742" s="4"/>
      <c r="BF742" s="4"/>
      <c r="BG742" s="4"/>
      <c r="BH742" s="4"/>
      <c r="BI742" s="4"/>
      <c r="BJ742" s="4"/>
      <c r="BK742" s="4"/>
      <c r="BL742" s="4"/>
      <c r="BS742" s="4"/>
      <c r="BT742" s="4"/>
      <c r="BU742" s="4"/>
      <c r="BV742" s="4"/>
      <c r="BW742" s="4"/>
      <c r="BX742" s="4"/>
      <c r="BY742" s="4"/>
      <c r="BZ742" s="4"/>
      <c r="CA742" s="4"/>
      <c r="CB742" s="4"/>
      <c r="CC742" s="4"/>
      <c r="CD742" s="4"/>
      <c r="CE742" s="4"/>
      <c r="CF742" s="4"/>
    </row>
    <row r="743" spans="1:84" x14ac:dyDescent="0.3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s="4"/>
      <c r="BD743" s="4"/>
      <c r="BE743" s="4"/>
      <c r="BF743" s="4"/>
      <c r="BG743" s="4"/>
      <c r="BH743" s="4"/>
      <c r="BI743" s="4"/>
      <c r="BJ743" s="4"/>
      <c r="BK743" s="4"/>
      <c r="BL743" s="4"/>
      <c r="BS743" s="4"/>
      <c r="BT743" s="4"/>
      <c r="BU743" s="4"/>
      <c r="BV743" s="4"/>
      <c r="BW743" s="4"/>
      <c r="BX743" s="4"/>
      <c r="BY743" s="4"/>
      <c r="BZ743" s="4"/>
      <c r="CA743" s="4"/>
      <c r="CB743" s="4"/>
      <c r="CC743" s="4"/>
      <c r="CD743" s="4"/>
      <c r="CE743" s="4"/>
      <c r="CF743" s="4"/>
    </row>
    <row r="744" spans="1:84" x14ac:dyDescent="0.3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s="4"/>
      <c r="BD744" s="4"/>
      <c r="BE744" s="4"/>
      <c r="BF744" s="4"/>
      <c r="BG744" s="4"/>
      <c r="BH744" s="4"/>
      <c r="BI744" s="4"/>
      <c r="BJ744" s="4"/>
      <c r="BK744" s="4"/>
      <c r="BL744" s="4"/>
      <c r="BS744" s="4"/>
      <c r="BT744" s="4"/>
      <c r="BU744" s="4"/>
      <c r="BV744" s="4"/>
      <c r="BW744" s="4"/>
      <c r="BX744" s="4"/>
      <c r="BY744" s="4"/>
      <c r="BZ744" s="4"/>
      <c r="CA744" s="4"/>
      <c r="CB744" s="4"/>
      <c r="CC744" s="4"/>
      <c r="CD744" s="4"/>
      <c r="CE744" s="4"/>
      <c r="CF744" s="4"/>
    </row>
    <row r="745" spans="1:84" x14ac:dyDescent="0.3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s="4"/>
      <c r="BD745" s="4"/>
      <c r="BE745" s="4"/>
      <c r="BF745" s="4"/>
      <c r="BG745" s="4"/>
      <c r="BH745" s="4"/>
      <c r="BI745" s="4"/>
      <c r="BJ745" s="4"/>
      <c r="BK745" s="4"/>
      <c r="BL745" s="4"/>
      <c r="BS745" s="4"/>
      <c r="BT745" s="4"/>
      <c r="BU745" s="4"/>
      <c r="BV745" s="4"/>
      <c r="BW745" s="4"/>
      <c r="BX745" s="4"/>
      <c r="BY745" s="4"/>
      <c r="BZ745" s="4"/>
      <c r="CA745" s="4"/>
      <c r="CB745" s="4"/>
      <c r="CC745" s="4"/>
      <c r="CD745" s="4"/>
      <c r="CE745" s="4"/>
      <c r="CF745" s="4"/>
    </row>
    <row r="746" spans="1:84" x14ac:dyDescent="0.3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s="4"/>
      <c r="BD746" s="4"/>
      <c r="BE746" s="4"/>
      <c r="BF746" s="4"/>
      <c r="BG746" s="4"/>
      <c r="BH746" s="4"/>
      <c r="BI746" s="4"/>
      <c r="BJ746" s="4"/>
      <c r="BK746" s="4"/>
      <c r="BL746" s="4"/>
      <c r="BS746" s="4"/>
      <c r="BT746" s="4"/>
      <c r="BU746" s="4"/>
      <c r="BV746" s="4"/>
      <c r="BW746" s="4"/>
      <c r="BX746" s="4"/>
      <c r="BY746" s="4"/>
      <c r="BZ746" s="4"/>
      <c r="CA746" s="4"/>
      <c r="CB746" s="4"/>
      <c r="CC746" s="4"/>
      <c r="CD746" s="4"/>
      <c r="CE746" s="4"/>
      <c r="CF746" s="4"/>
    </row>
    <row r="747" spans="1:84" x14ac:dyDescent="0.3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s="4"/>
      <c r="BD747" s="4"/>
      <c r="BE747" s="4"/>
      <c r="BF747" s="4"/>
      <c r="BG747" s="4"/>
      <c r="BH747" s="4"/>
      <c r="BI747" s="4"/>
      <c r="BJ747" s="4"/>
      <c r="BK747" s="4"/>
      <c r="BL747" s="4"/>
      <c r="BS747" s="4"/>
      <c r="BT747" s="4"/>
      <c r="BU747" s="4"/>
      <c r="BV747" s="4"/>
      <c r="BW747" s="4"/>
      <c r="BX747" s="4"/>
      <c r="BY747" s="4"/>
      <c r="BZ747" s="4"/>
      <c r="CA747" s="4"/>
      <c r="CB747" s="4"/>
      <c r="CC747" s="4"/>
      <c r="CD747" s="4"/>
      <c r="CE747" s="4"/>
      <c r="CF747" s="4"/>
    </row>
    <row r="748" spans="1:84" x14ac:dyDescent="0.3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c r="BB748" s="4"/>
      <c r="BC748" s="4"/>
      <c r="BD748" s="4"/>
      <c r="BE748" s="4"/>
      <c r="BF748" s="4"/>
      <c r="BG748" s="4"/>
      <c r="BH748" s="4"/>
      <c r="BI748" s="4"/>
      <c r="BJ748" s="4"/>
      <c r="BK748" s="4"/>
      <c r="BL748" s="4"/>
      <c r="BS748" s="4"/>
      <c r="BT748" s="4"/>
      <c r="BU748" s="4"/>
      <c r="BV748" s="4"/>
      <c r="BW748" s="4"/>
      <c r="BX748" s="4"/>
      <c r="BY748" s="4"/>
      <c r="BZ748" s="4"/>
      <c r="CA748" s="4"/>
      <c r="CB748" s="4"/>
      <c r="CC748" s="4"/>
      <c r="CD748" s="4"/>
      <c r="CE748" s="4"/>
      <c r="CF748" s="4"/>
    </row>
    <row r="749" spans="1:84" x14ac:dyDescent="0.3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c r="BB749" s="4"/>
      <c r="BC749" s="4"/>
      <c r="BD749" s="4"/>
      <c r="BE749" s="4"/>
      <c r="BF749" s="4"/>
      <c r="BG749" s="4"/>
      <c r="BH749" s="4"/>
      <c r="BI749" s="4"/>
      <c r="BJ749" s="4"/>
      <c r="BK749" s="4"/>
      <c r="BL749" s="4"/>
      <c r="BS749" s="4"/>
      <c r="BT749" s="4"/>
      <c r="BU749" s="4"/>
      <c r="BV749" s="4"/>
      <c r="BW749" s="4"/>
      <c r="BX749" s="4"/>
      <c r="BY749" s="4"/>
      <c r="BZ749" s="4"/>
      <c r="CA749" s="4"/>
      <c r="CB749" s="4"/>
      <c r="CC749" s="4"/>
      <c r="CD749" s="4"/>
      <c r="CE749" s="4"/>
      <c r="CF749" s="4"/>
    </row>
    <row r="750" spans="1:84" x14ac:dyDescent="0.3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c r="BB750" s="4"/>
      <c r="BC750" s="4"/>
      <c r="BD750" s="4"/>
      <c r="BE750" s="4"/>
      <c r="BF750" s="4"/>
      <c r="BG750" s="4"/>
      <c r="BH750" s="4"/>
      <c r="BI750" s="4"/>
      <c r="BJ750" s="4"/>
      <c r="BK750" s="4"/>
      <c r="BL750" s="4"/>
      <c r="BS750" s="4"/>
      <c r="BT750" s="4"/>
      <c r="BU750" s="4"/>
      <c r="BV750" s="4"/>
      <c r="BW750" s="4"/>
      <c r="BX750" s="4"/>
      <c r="BY750" s="4"/>
      <c r="BZ750" s="4"/>
      <c r="CA750" s="4"/>
      <c r="CB750" s="4"/>
      <c r="CC750" s="4"/>
      <c r="CD750" s="4"/>
      <c r="CE750" s="4"/>
      <c r="CF750" s="4"/>
    </row>
    <row r="751" spans="1:84" x14ac:dyDescent="0.3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c r="BB751" s="4"/>
      <c r="BC751" s="4"/>
      <c r="BD751" s="4"/>
      <c r="BE751" s="4"/>
      <c r="BF751" s="4"/>
      <c r="BG751" s="4"/>
      <c r="BH751" s="4"/>
      <c r="BI751" s="4"/>
      <c r="BJ751" s="4"/>
      <c r="BK751" s="4"/>
      <c r="BL751" s="4"/>
      <c r="BS751" s="4"/>
      <c r="BT751" s="4"/>
      <c r="BU751" s="4"/>
      <c r="BV751" s="4"/>
      <c r="BW751" s="4"/>
      <c r="BX751" s="4"/>
      <c r="BY751" s="4"/>
      <c r="BZ751" s="4"/>
      <c r="CA751" s="4"/>
      <c r="CB751" s="4"/>
      <c r="CC751" s="4"/>
      <c r="CD751" s="4"/>
      <c r="CE751" s="4"/>
      <c r="CF751" s="4"/>
    </row>
    <row r="752" spans="1:84" x14ac:dyDescent="0.3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c r="BB752" s="4"/>
      <c r="BC752" s="4"/>
      <c r="BD752" s="4"/>
      <c r="BE752" s="4"/>
      <c r="BF752" s="4"/>
      <c r="BG752" s="4"/>
      <c r="BH752" s="4"/>
      <c r="BI752" s="4"/>
      <c r="BJ752" s="4"/>
      <c r="BK752" s="4"/>
      <c r="BL752" s="4"/>
      <c r="BS752" s="4"/>
      <c r="BT752" s="4"/>
      <c r="BU752" s="4"/>
      <c r="BV752" s="4"/>
      <c r="BW752" s="4"/>
      <c r="BX752" s="4"/>
      <c r="BY752" s="4"/>
      <c r="BZ752" s="4"/>
      <c r="CA752" s="4"/>
      <c r="CB752" s="4"/>
      <c r="CC752" s="4"/>
      <c r="CD752" s="4"/>
      <c r="CE752" s="4"/>
      <c r="CF752" s="4"/>
    </row>
    <row r="753" spans="1:84" x14ac:dyDescent="0.3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c r="BB753" s="4"/>
      <c r="BC753" s="4"/>
      <c r="BD753" s="4"/>
      <c r="BE753" s="4"/>
      <c r="BF753" s="4"/>
      <c r="BG753" s="4"/>
      <c r="BH753" s="4"/>
      <c r="BI753" s="4"/>
      <c r="BJ753" s="4"/>
      <c r="BK753" s="4"/>
      <c r="BL753" s="4"/>
      <c r="BS753" s="4"/>
      <c r="BT753" s="4"/>
      <c r="BU753" s="4"/>
      <c r="BV753" s="4"/>
      <c r="BW753" s="4"/>
      <c r="BX753" s="4"/>
      <c r="BY753" s="4"/>
      <c r="BZ753" s="4"/>
      <c r="CA753" s="4"/>
      <c r="CB753" s="4"/>
      <c r="CC753" s="4"/>
      <c r="CD753" s="4"/>
      <c r="CE753" s="4"/>
      <c r="CF753" s="4"/>
    </row>
    <row r="754" spans="1:84" x14ac:dyDescent="0.3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c r="BB754" s="4"/>
      <c r="BC754" s="4"/>
      <c r="BD754" s="4"/>
      <c r="BE754" s="4"/>
      <c r="BF754" s="4"/>
      <c r="BG754" s="4"/>
      <c r="BH754" s="4"/>
      <c r="BI754" s="4"/>
      <c r="BJ754" s="4"/>
      <c r="BK754" s="4"/>
      <c r="BL754" s="4"/>
      <c r="BS754" s="4"/>
      <c r="BT754" s="4"/>
      <c r="BU754" s="4"/>
      <c r="BV754" s="4"/>
      <c r="BW754" s="4"/>
      <c r="BX754" s="4"/>
      <c r="BY754" s="4"/>
      <c r="BZ754" s="4"/>
      <c r="CA754" s="4"/>
      <c r="CB754" s="4"/>
      <c r="CC754" s="4"/>
      <c r="CD754" s="4"/>
      <c r="CE754" s="4"/>
      <c r="CF754" s="4"/>
    </row>
    <row r="755" spans="1:84" x14ac:dyDescent="0.3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c r="BB755" s="4"/>
      <c r="BC755" s="4"/>
      <c r="BD755" s="4"/>
      <c r="BE755" s="4"/>
      <c r="BF755" s="4"/>
      <c r="BG755" s="4"/>
      <c r="BH755" s="4"/>
      <c r="BI755" s="4"/>
      <c r="BJ755" s="4"/>
      <c r="BK755" s="4"/>
      <c r="BL755" s="4"/>
      <c r="BS755" s="4"/>
      <c r="BT755" s="4"/>
      <c r="BU755" s="4"/>
      <c r="BV755" s="4"/>
      <c r="BW755" s="4"/>
      <c r="BX755" s="4"/>
      <c r="BY755" s="4"/>
      <c r="BZ755" s="4"/>
      <c r="CA755" s="4"/>
      <c r="CB755" s="4"/>
      <c r="CC755" s="4"/>
      <c r="CD755" s="4"/>
      <c r="CE755" s="4"/>
      <c r="CF755" s="4"/>
    </row>
    <row r="756" spans="1:84" x14ac:dyDescent="0.3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c r="BB756" s="4"/>
      <c r="BC756" s="4"/>
      <c r="BD756" s="4"/>
      <c r="BE756" s="4"/>
      <c r="BF756" s="4"/>
      <c r="BG756" s="4"/>
      <c r="BH756" s="4"/>
      <c r="BI756" s="4"/>
      <c r="BJ756" s="4"/>
      <c r="BK756" s="4"/>
      <c r="BL756" s="4"/>
      <c r="BS756" s="4"/>
      <c r="BT756" s="4"/>
      <c r="BU756" s="4"/>
      <c r="BV756" s="4"/>
      <c r="BW756" s="4"/>
      <c r="BX756" s="4"/>
      <c r="BY756" s="4"/>
      <c r="BZ756" s="4"/>
      <c r="CA756" s="4"/>
      <c r="CB756" s="4"/>
      <c r="CC756" s="4"/>
      <c r="CD756" s="4"/>
      <c r="CE756" s="4"/>
      <c r="CF756" s="4"/>
    </row>
    <row r="757" spans="1:84" x14ac:dyDescent="0.3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c r="BB757" s="4"/>
      <c r="BC757" s="4"/>
      <c r="BD757" s="4"/>
      <c r="BE757" s="4"/>
      <c r="BF757" s="4"/>
      <c r="BG757" s="4"/>
      <c r="BH757" s="4"/>
      <c r="BI757" s="4"/>
      <c r="BJ757" s="4"/>
      <c r="BK757" s="4"/>
      <c r="BL757" s="4"/>
      <c r="BS757" s="4"/>
      <c r="BT757" s="4"/>
      <c r="BU757" s="4"/>
      <c r="BV757" s="4"/>
      <c r="BW757" s="4"/>
      <c r="BX757" s="4"/>
      <c r="BY757" s="4"/>
      <c r="BZ757" s="4"/>
      <c r="CA757" s="4"/>
      <c r="CB757" s="4"/>
      <c r="CC757" s="4"/>
      <c r="CD757" s="4"/>
      <c r="CE757" s="4"/>
      <c r="CF757" s="4"/>
    </row>
    <row r="758" spans="1:84" x14ac:dyDescent="0.3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c r="BB758" s="4"/>
      <c r="BC758" s="4"/>
      <c r="BD758" s="4"/>
      <c r="BE758" s="4"/>
      <c r="BF758" s="4"/>
      <c r="BG758" s="4"/>
      <c r="BH758" s="4"/>
      <c r="BI758" s="4"/>
      <c r="BJ758" s="4"/>
      <c r="BK758" s="4"/>
      <c r="BL758" s="4"/>
      <c r="BS758" s="4"/>
      <c r="BT758" s="4"/>
      <c r="BU758" s="4"/>
      <c r="BV758" s="4"/>
      <c r="BW758" s="4"/>
      <c r="BX758" s="4"/>
      <c r="BY758" s="4"/>
      <c r="BZ758" s="4"/>
      <c r="CA758" s="4"/>
      <c r="CB758" s="4"/>
      <c r="CC758" s="4"/>
      <c r="CD758" s="4"/>
      <c r="CE758" s="4"/>
      <c r="CF758" s="4"/>
    </row>
    <row r="759" spans="1:84" x14ac:dyDescent="0.3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c r="BB759" s="4"/>
      <c r="BC759" s="4"/>
      <c r="BD759" s="4"/>
      <c r="BE759" s="4"/>
      <c r="BF759" s="4"/>
      <c r="BG759" s="4"/>
      <c r="BH759" s="4"/>
      <c r="BI759" s="4"/>
      <c r="BJ759" s="4"/>
      <c r="BK759" s="4"/>
      <c r="BL759" s="4"/>
      <c r="BS759" s="4"/>
      <c r="BT759" s="4"/>
      <c r="BU759" s="4"/>
      <c r="BV759" s="4"/>
      <c r="BW759" s="4"/>
      <c r="BX759" s="4"/>
      <c r="BY759" s="4"/>
      <c r="BZ759" s="4"/>
      <c r="CA759" s="4"/>
      <c r="CB759" s="4"/>
      <c r="CC759" s="4"/>
      <c r="CD759" s="4"/>
      <c r="CE759" s="4"/>
      <c r="CF759" s="4"/>
    </row>
    <row r="760" spans="1:84" x14ac:dyDescent="0.3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c r="BB760" s="4"/>
      <c r="BC760" s="4"/>
      <c r="BD760" s="4"/>
      <c r="BE760" s="4"/>
      <c r="BF760" s="4"/>
      <c r="BG760" s="4"/>
      <c r="BH760" s="4"/>
      <c r="BI760" s="4"/>
      <c r="BJ760" s="4"/>
      <c r="BK760" s="4"/>
      <c r="BL760" s="4"/>
      <c r="BS760" s="4"/>
      <c r="BT760" s="4"/>
      <c r="BU760" s="4"/>
      <c r="BV760" s="4"/>
      <c r="BW760" s="4"/>
      <c r="BX760" s="4"/>
      <c r="BY760" s="4"/>
      <c r="BZ760" s="4"/>
      <c r="CA760" s="4"/>
      <c r="CB760" s="4"/>
      <c r="CC760" s="4"/>
      <c r="CD760" s="4"/>
      <c r="CE760" s="4"/>
      <c r="CF760" s="4"/>
    </row>
    <row r="761" spans="1:84" x14ac:dyDescent="0.3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c r="BB761" s="4"/>
      <c r="BC761" s="4"/>
      <c r="BD761" s="4"/>
      <c r="BE761" s="4"/>
      <c r="BF761" s="4"/>
      <c r="BG761" s="4"/>
      <c r="BH761" s="4"/>
      <c r="BI761" s="4"/>
      <c r="BJ761" s="4"/>
      <c r="BK761" s="4"/>
      <c r="BL761" s="4"/>
      <c r="BS761" s="4"/>
      <c r="BT761" s="4"/>
      <c r="BU761" s="4"/>
      <c r="BV761" s="4"/>
      <c r="BW761" s="4"/>
      <c r="BX761" s="4"/>
      <c r="BY761" s="4"/>
      <c r="BZ761" s="4"/>
      <c r="CA761" s="4"/>
      <c r="CB761" s="4"/>
      <c r="CC761" s="4"/>
      <c r="CD761" s="4"/>
      <c r="CE761" s="4"/>
      <c r="CF761" s="4"/>
    </row>
    <row r="762" spans="1:84" x14ac:dyDescent="0.3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c r="BB762" s="4"/>
      <c r="BC762" s="4"/>
      <c r="BD762" s="4"/>
      <c r="BE762" s="4"/>
      <c r="BF762" s="4"/>
      <c r="BG762" s="4"/>
      <c r="BH762" s="4"/>
      <c r="BI762" s="4"/>
      <c r="BJ762" s="4"/>
      <c r="BK762" s="4"/>
      <c r="BL762" s="4"/>
      <c r="BS762" s="4"/>
      <c r="BT762" s="4"/>
      <c r="BU762" s="4"/>
      <c r="BV762" s="4"/>
      <c r="BW762" s="4"/>
      <c r="BX762" s="4"/>
      <c r="BY762" s="4"/>
      <c r="BZ762" s="4"/>
      <c r="CA762" s="4"/>
      <c r="CB762" s="4"/>
      <c r="CC762" s="4"/>
      <c r="CD762" s="4"/>
      <c r="CE762" s="4"/>
      <c r="CF762" s="4"/>
    </row>
    <row r="763" spans="1:84" x14ac:dyDescent="0.3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c r="BB763" s="4"/>
      <c r="BC763" s="4"/>
      <c r="BD763" s="4"/>
      <c r="BE763" s="4"/>
      <c r="BF763" s="4"/>
      <c r="BG763" s="4"/>
      <c r="BH763" s="4"/>
      <c r="BI763" s="4"/>
      <c r="BJ763" s="4"/>
      <c r="BK763" s="4"/>
      <c r="BL763" s="4"/>
      <c r="BS763" s="4"/>
      <c r="BT763" s="4"/>
      <c r="BU763" s="4"/>
      <c r="BV763" s="4"/>
      <c r="BW763" s="4"/>
      <c r="BX763" s="4"/>
      <c r="BY763" s="4"/>
      <c r="BZ763" s="4"/>
      <c r="CA763" s="4"/>
      <c r="CB763" s="4"/>
      <c r="CC763" s="4"/>
      <c r="CD763" s="4"/>
      <c r="CE763" s="4"/>
      <c r="CF763" s="4"/>
    </row>
    <row r="764" spans="1:84" x14ac:dyDescent="0.3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c r="BB764" s="4"/>
      <c r="BC764" s="4"/>
      <c r="BD764" s="4"/>
      <c r="BE764" s="4"/>
      <c r="BF764" s="4"/>
      <c r="BG764" s="4"/>
      <c r="BH764" s="4"/>
      <c r="BI764" s="4"/>
      <c r="BJ764" s="4"/>
      <c r="BK764" s="4"/>
      <c r="BL764" s="4"/>
      <c r="BS764" s="4"/>
      <c r="BT764" s="4"/>
      <c r="BU764" s="4"/>
      <c r="BV764" s="4"/>
      <c r="BW764" s="4"/>
      <c r="BX764" s="4"/>
      <c r="BY764" s="4"/>
      <c r="BZ764" s="4"/>
      <c r="CA764" s="4"/>
      <c r="CB764" s="4"/>
      <c r="CC764" s="4"/>
      <c r="CD764" s="4"/>
      <c r="CE764" s="4"/>
      <c r="CF764" s="4"/>
    </row>
    <row r="765" spans="1:84" x14ac:dyDescent="0.3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c r="BB765" s="4"/>
      <c r="BC765" s="4"/>
      <c r="BD765" s="4"/>
      <c r="BE765" s="4"/>
      <c r="BF765" s="4"/>
      <c r="BG765" s="4"/>
      <c r="BH765" s="4"/>
      <c r="BI765" s="4"/>
      <c r="BJ765" s="4"/>
      <c r="BK765" s="4"/>
      <c r="BL765" s="4"/>
      <c r="BS765" s="4"/>
      <c r="BT765" s="4"/>
      <c r="BU765" s="4"/>
      <c r="BV765" s="4"/>
      <c r="BW765" s="4"/>
      <c r="BX765" s="4"/>
      <c r="BY765" s="4"/>
      <c r="BZ765" s="4"/>
      <c r="CA765" s="4"/>
      <c r="CB765" s="4"/>
      <c r="CC765" s="4"/>
      <c r="CD765" s="4"/>
      <c r="CE765" s="4"/>
      <c r="CF765" s="4"/>
    </row>
    <row r="766" spans="1:84" x14ac:dyDescent="0.3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c r="BB766" s="4"/>
      <c r="BC766" s="4"/>
      <c r="BD766" s="4"/>
      <c r="BE766" s="4"/>
      <c r="BF766" s="4"/>
      <c r="BG766" s="4"/>
      <c r="BH766" s="4"/>
      <c r="BI766" s="4"/>
      <c r="BJ766" s="4"/>
      <c r="BK766" s="4"/>
      <c r="BL766" s="4"/>
      <c r="BS766" s="4"/>
      <c r="BT766" s="4"/>
      <c r="BU766" s="4"/>
      <c r="BV766" s="4"/>
      <c r="BW766" s="4"/>
      <c r="BX766" s="4"/>
      <c r="BY766" s="4"/>
      <c r="BZ766" s="4"/>
      <c r="CA766" s="4"/>
      <c r="CB766" s="4"/>
      <c r="CC766" s="4"/>
      <c r="CD766" s="4"/>
      <c r="CE766" s="4"/>
      <c r="CF766" s="4"/>
    </row>
    <row r="767" spans="1:84" x14ac:dyDescent="0.3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c r="BB767" s="4"/>
      <c r="BC767" s="4"/>
      <c r="BD767" s="4"/>
      <c r="BE767" s="4"/>
      <c r="BF767" s="4"/>
      <c r="BG767" s="4"/>
      <c r="BH767" s="4"/>
      <c r="BI767" s="4"/>
      <c r="BJ767" s="4"/>
      <c r="BK767" s="4"/>
      <c r="BL767" s="4"/>
      <c r="BS767" s="4"/>
      <c r="BT767" s="4"/>
      <c r="BU767" s="4"/>
      <c r="BV767" s="4"/>
      <c r="BW767" s="4"/>
      <c r="BX767" s="4"/>
      <c r="BY767" s="4"/>
      <c r="BZ767" s="4"/>
      <c r="CA767" s="4"/>
      <c r="CB767" s="4"/>
      <c r="CC767" s="4"/>
      <c r="CD767" s="4"/>
      <c r="CE767" s="4"/>
      <c r="CF767" s="4"/>
    </row>
    <row r="768" spans="1:84" x14ac:dyDescent="0.3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c r="BB768" s="4"/>
      <c r="BC768" s="4"/>
      <c r="BD768" s="4"/>
      <c r="BE768" s="4"/>
      <c r="BF768" s="4"/>
      <c r="BG768" s="4"/>
      <c r="BH768" s="4"/>
      <c r="BI768" s="4"/>
      <c r="BJ768" s="4"/>
      <c r="BK768" s="4"/>
      <c r="BL768" s="4"/>
      <c r="BS768" s="4"/>
      <c r="BT768" s="4"/>
      <c r="BU768" s="4"/>
      <c r="BV768" s="4"/>
      <c r="BW768" s="4"/>
      <c r="BX768" s="4"/>
      <c r="BY768" s="4"/>
      <c r="BZ768" s="4"/>
      <c r="CA768" s="4"/>
      <c r="CB768" s="4"/>
      <c r="CC768" s="4"/>
      <c r="CD768" s="4"/>
      <c r="CE768" s="4"/>
      <c r="CF768" s="4"/>
    </row>
    <row r="769" spans="1:84" x14ac:dyDescent="0.3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c r="BB769" s="4"/>
      <c r="BC769" s="4"/>
      <c r="BD769" s="4"/>
      <c r="BE769" s="4"/>
      <c r="BF769" s="4"/>
      <c r="BG769" s="4"/>
      <c r="BH769" s="4"/>
      <c r="BI769" s="4"/>
      <c r="BJ769" s="4"/>
      <c r="BK769" s="4"/>
      <c r="BL769" s="4"/>
      <c r="BS769" s="4"/>
      <c r="BT769" s="4"/>
      <c r="BU769" s="4"/>
      <c r="BV769" s="4"/>
      <c r="BW769" s="4"/>
      <c r="BX769" s="4"/>
      <c r="BY769" s="4"/>
      <c r="BZ769" s="4"/>
      <c r="CA769" s="4"/>
      <c r="CB769" s="4"/>
      <c r="CC769" s="4"/>
      <c r="CD769" s="4"/>
      <c r="CE769" s="4"/>
      <c r="CF769" s="4"/>
    </row>
    <row r="770" spans="1:84" x14ac:dyDescent="0.3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c r="BB770" s="4"/>
      <c r="BC770" s="4"/>
      <c r="BD770" s="4"/>
      <c r="BE770" s="4"/>
      <c r="BF770" s="4"/>
      <c r="BG770" s="4"/>
      <c r="BH770" s="4"/>
      <c r="BI770" s="4"/>
      <c r="BJ770" s="4"/>
      <c r="BK770" s="4"/>
      <c r="BL770" s="4"/>
      <c r="BS770" s="4"/>
      <c r="BT770" s="4"/>
      <c r="BU770" s="4"/>
      <c r="BV770" s="4"/>
      <c r="BW770" s="4"/>
      <c r="BX770" s="4"/>
      <c r="BY770" s="4"/>
      <c r="BZ770" s="4"/>
      <c r="CA770" s="4"/>
      <c r="CB770" s="4"/>
      <c r="CC770" s="4"/>
      <c r="CD770" s="4"/>
      <c r="CE770" s="4"/>
      <c r="CF770" s="4"/>
    </row>
    <row r="771" spans="1:84" x14ac:dyDescent="0.3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c r="BB771" s="4"/>
      <c r="BC771" s="4"/>
      <c r="BD771" s="4"/>
      <c r="BE771" s="4"/>
      <c r="BF771" s="4"/>
      <c r="BG771" s="4"/>
      <c r="BH771" s="4"/>
      <c r="BI771" s="4"/>
      <c r="BJ771" s="4"/>
      <c r="BK771" s="4"/>
      <c r="BL771" s="4"/>
      <c r="BS771" s="4"/>
      <c r="BT771" s="4"/>
      <c r="BU771" s="4"/>
      <c r="BV771" s="4"/>
      <c r="BW771" s="4"/>
      <c r="BX771" s="4"/>
      <c r="BY771" s="4"/>
      <c r="BZ771" s="4"/>
      <c r="CA771" s="4"/>
      <c r="CB771" s="4"/>
      <c r="CC771" s="4"/>
      <c r="CD771" s="4"/>
      <c r="CE771" s="4"/>
      <c r="CF771" s="4"/>
    </row>
    <row r="772" spans="1:84" x14ac:dyDescent="0.3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c r="BB772" s="4"/>
      <c r="BC772" s="4"/>
      <c r="BD772" s="4"/>
      <c r="BE772" s="4"/>
      <c r="BF772" s="4"/>
      <c r="BG772" s="4"/>
      <c r="BH772" s="4"/>
      <c r="BI772" s="4"/>
      <c r="BJ772" s="4"/>
      <c r="BK772" s="4"/>
      <c r="BL772" s="4"/>
      <c r="BS772" s="4"/>
      <c r="BT772" s="4"/>
      <c r="BU772" s="4"/>
      <c r="BV772" s="4"/>
      <c r="BW772" s="4"/>
      <c r="BX772" s="4"/>
      <c r="BY772" s="4"/>
      <c r="BZ772" s="4"/>
      <c r="CA772" s="4"/>
      <c r="CB772" s="4"/>
      <c r="CC772" s="4"/>
      <c r="CD772" s="4"/>
      <c r="CE772" s="4"/>
      <c r="CF772" s="4"/>
    </row>
    <row r="773" spans="1:84" x14ac:dyDescent="0.3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c r="BB773" s="4"/>
      <c r="BC773" s="4"/>
      <c r="BD773" s="4"/>
      <c r="BE773" s="4"/>
      <c r="BF773" s="4"/>
      <c r="BG773" s="4"/>
      <c r="BH773" s="4"/>
      <c r="BI773" s="4"/>
      <c r="BJ773" s="4"/>
      <c r="BK773" s="4"/>
      <c r="BL773" s="4"/>
      <c r="BS773" s="4"/>
      <c r="BT773" s="4"/>
      <c r="BU773" s="4"/>
      <c r="BV773" s="4"/>
      <c r="BW773" s="4"/>
      <c r="BX773" s="4"/>
      <c r="BY773" s="4"/>
      <c r="BZ773" s="4"/>
      <c r="CA773" s="4"/>
      <c r="CB773" s="4"/>
      <c r="CC773" s="4"/>
      <c r="CD773" s="4"/>
      <c r="CE773" s="4"/>
      <c r="CF773" s="4"/>
    </row>
    <row r="774" spans="1:84" x14ac:dyDescent="0.3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c r="BB774" s="4"/>
      <c r="BC774" s="4"/>
      <c r="BD774" s="4"/>
      <c r="BE774" s="4"/>
      <c r="BF774" s="4"/>
      <c r="BG774" s="4"/>
      <c r="BH774" s="4"/>
      <c r="BI774" s="4"/>
      <c r="BJ774" s="4"/>
      <c r="BK774" s="4"/>
      <c r="BL774" s="4"/>
      <c r="BS774" s="4"/>
      <c r="BT774" s="4"/>
      <c r="BU774" s="4"/>
      <c r="BV774" s="4"/>
      <c r="BW774" s="4"/>
      <c r="BX774" s="4"/>
      <c r="BY774" s="4"/>
      <c r="BZ774" s="4"/>
      <c r="CA774" s="4"/>
      <c r="CB774" s="4"/>
      <c r="CC774" s="4"/>
      <c r="CD774" s="4"/>
      <c r="CE774" s="4"/>
      <c r="CF774" s="4"/>
    </row>
    <row r="775" spans="1:84" x14ac:dyDescent="0.3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c r="BB775" s="4"/>
      <c r="BC775" s="4"/>
      <c r="BD775" s="4"/>
      <c r="BE775" s="4"/>
      <c r="BF775" s="4"/>
      <c r="BG775" s="4"/>
      <c r="BH775" s="4"/>
      <c r="BI775" s="4"/>
      <c r="BJ775" s="4"/>
      <c r="BK775" s="4"/>
      <c r="BL775" s="4"/>
      <c r="BS775" s="4"/>
      <c r="BT775" s="4"/>
      <c r="BU775" s="4"/>
      <c r="BV775" s="4"/>
      <c r="BW775" s="4"/>
      <c r="BX775" s="4"/>
      <c r="BY775" s="4"/>
      <c r="BZ775" s="4"/>
      <c r="CA775" s="4"/>
      <c r="CB775" s="4"/>
      <c r="CC775" s="4"/>
      <c r="CD775" s="4"/>
      <c r="CE775" s="4"/>
      <c r="CF775" s="4"/>
    </row>
    <row r="776" spans="1:84" x14ac:dyDescent="0.3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c r="BB776" s="4"/>
      <c r="BC776" s="4"/>
      <c r="BD776" s="4"/>
      <c r="BE776" s="4"/>
      <c r="BF776" s="4"/>
      <c r="BG776" s="4"/>
      <c r="BH776" s="4"/>
      <c r="BI776" s="4"/>
      <c r="BJ776" s="4"/>
      <c r="BK776" s="4"/>
      <c r="BL776" s="4"/>
      <c r="BS776" s="4"/>
      <c r="BT776" s="4"/>
      <c r="BU776" s="4"/>
      <c r="BV776" s="4"/>
      <c r="BW776" s="4"/>
      <c r="BX776" s="4"/>
      <c r="BY776" s="4"/>
      <c r="BZ776" s="4"/>
      <c r="CA776" s="4"/>
      <c r="CB776" s="4"/>
      <c r="CC776" s="4"/>
      <c r="CD776" s="4"/>
      <c r="CE776" s="4"/>
      <c r="CF776" s="4"/>
    </row>
    <row r="777" spans="1:84" x14ac:dyDescent="0.3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c r="BB777" s="4"/>
      <c r="BC777" s="4"/>
      <c r="BD777" s="4"/>
      <c r="BE777" s="4"/>
      <c r="BF777" s="4"/>
      <c r="BG777" s="4"/>
      <c r="BH777" s="4"/>
      <c r="BI777" s="4"/>
      <c r="BJ777" s="4"/>
      <c r="BK777" s="4"/>
      <c r="BL777" s="4"/>
      <c r="BS777" s="4"/>
      <c r="BT777" s="4"/>
      <c r="BU777" s="4"/>
      <c r="BV777" s="4"/>
      <c r="BW777" s="4"/>
      <c r="BX777" s="4"/>
      <c r="BY777" s="4"/>
      <c r="BZ777" s="4"/>
      <c r="CA777" s="4"/>
      <c r="CB777" s="4"/>
      <c r="CC777" s="4"/>
      <c r="CD777" s="4"/>
      <c r="CE777" s="4"/>
      <c r="CF777" s="4"/>
    </row>
    <row r="778" spans="1:84" x14ac:dyDescent="0.3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c r="BB778" s="4"/>
      <c r="BC778" s="4"/>
      <c r="BD778" s="4"/>
      <c r="BE778" s="4"/>
      <c r="BF778" s="4"/>
      <c r="BG778" s="4"/>
      <c r="BH778" s="4"/>
      <c r="BI778" s="4"/>
      <c r="BJ778" s="4"/>
      <c r="BK778" s="4"/>
      <c r="BL778" s="4"/>
      <c r="BS778" s="4"/>
      <c r="BT778" s="4"/>
      <c r="BU778" s="4"/>
      <c r="BV778" s="4"/>
      <c r="BW778" s="4"/>
      <c r="BX778" s="4"/>
      <c r="BY778" s="4"/>
      <c r="BZ778" s="4"/>
      <c r="CA778" s="4"/>
      <c r="CB778" s="4"/>
      <c r="CC778" s="4"/>
      <c r="CD778" s="4"/>
      <c r="CE778" s="4"/>
      <c r="CF778" s="4"/>
    </row>
    <row r="779" spans="1:84" x14ac:dyDescent="0.3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c r="BB779" s="4"/>
      <c r="BC779" s="4"/>
      <c r="BD779" s="4"/>
      <c r="BE779" s="4"/>
      <c r="BF779" s="4"/>
      <c r="BG779" s="4"/>
      <c r="BH779" s="4"/>
      <c r="BI779" s="4"/>
      <c r="BJ779" s="4"/>
      <c r="BK779" s="4"/>
      <c r="BL779" s="4"/>
      <c r="BS779" s="4"/>
      <c r="BT779" s="4"/>
      <c r="BU779" s="4"/>
      <c r="BV779" s="4"/>
      <c r="BW779" s="4"/>
      <c r="BX779" s="4"/>
      <c r="BY779" s="4"/>
      <c r="BZ779" s="4"/>
      <c r="CA779" s="4"/>
      <c r="CB779" s="4"/>
      <c r="CC779" s="4"/>
      <c r="CD779" s="4"/>
      <c r="CE779" s="4"/>
      <c r="CF779" s="4"/>
    </row>
    <row r="780" spans="1:84" x14ac:dyDescent="0.3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c r="BB780" s="4"/>
      <c r="BC780" s="4"/>
      <c r="BD780" s="4"/>
      <c r="BE780" s="4"/>
      <c r="BF780" s="4"/>
      <c r="BG780" s="4"/>
      <c r="BH780" s="4"/>
      <c r="BI780" s="4"/>
      <c r="BJ780" s="4"/>
      <c r="BK780" s="4"/>
      <c r="BL780" s="4"/>
      <c r="BS780" s="4"/>
      <c r="BT780" s="4"/>
      <c r="BU780" s="4"/>
      <c r="BV780" s="4"/>
      <c r="BW780" s="4"/>
      <c r="BX780" s="4"/>
      <c r="BY780" s="4"/>
      <c r="BZ780" s="4"/>
      <c r="CA780" s="4"/>
      <c r="CB780" s="4"/>
      <c r="CC780" s="4"/>
      <c r="CD780" s="4"/>
      <c r="CE780" s="4"/>
      <c r="CF780" s="4"/>
    </row>
    <row r="781" spans="1:84" x14ac:dyDescent="0.3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c r="BB781" s="4"/>
      <c r="BC781" s="4"/>
      <c r="BD781" s="4"/>
      <c r="BE781" s="4"/>
      <c r="BF781" s="4"/>
      <c r="BG781" s="4"/>
      <c r="BH781" s="4"/>
      <c r="BI781" s="4"/>
      <c r="BJ781" s="4"/>
      <c r="BK781" s="4"/>
      <c r="BL781" s="4"/>
      <c r="BS781" s="4"/>
      <c r="BT781" s="4"/>
      <c r="BU781" s="4"/>
      <c r="BV781" s="4"/>
      <c r="BW781" s="4"/>
      <c r="BX781" s="4"/>
      <c r="BY781" s="4"/>
      <c r="BZ781" s="4"/>
      <c r="CA781" s="4"/>
      <c r="CB781" s="4"/>
      <c r="CC781" s="4"/>
      <c r="CD781" s="4"/>
      <c r="CE781" s="4"/>
      <c r="CF781" s="4"/>
    </row>
    <row r="782" spans="1:84" x14ac:dyDescent="0.3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c r="BB782" s="4"/>
      <c r="BC782" s="4"/>
      <c r="BD782" s="4"/>
      <c r="BE782" s="4"/>
      <c r="BF782" s="4"/>
      <c r="BG782" s="4"/>
      <c r="BH782" s="4"/>
      <c r="BI782" s="4"/>
      <c r="BJ782" s="4"/>
      <c r="BK782" s="4"/>
      <c r="BL782" s="4"/>
      <c r="BS782" s="4"/>
      <c r="BT782" s="4"/>
      <c r="BU782" s="4"/>
      <c r="BV782" s="4"/>
      <c r="BW782" s="4"/>
      <c r="BX782" s="4"/>
      <c r="BY782" s="4"/>
      <c r="BZ782" s="4"/>
      <c r="CA782" s="4"/>
      <c r="CB782" s="4"/>
      <c r="CC782" s="4"/>
      <c r="CD782" s="4"/>
      <c r="CE782" s="4"/>
      <c r="CF782" s="4"/>
    </row>
    <row r="783" spans="1:84" x14ac:dyDescent="0.3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c r="BB783" s="4"/>
      <c r="BC783" s="4"/>
      <c r="BD783" s="4"/>
      <c r="BE783" s="4"/>
      <c r="BF783" s="4"/>
      <c r="BG783" s="4"/>
      <c r="BH783" s="4"/>
      <c r="BI783" s="4"/>
      <c r="BJ783" s="4"/>
      <c r="BK783" s="4"/>
      <c r="BL783" s="4"/>
      <c r="BS783" s="4"/>
      <c r="BT783" s="4"/>
      <c r="BU783" s="4"/>
      <c r="BV783" s="4"/>
      <c r="BW783" s="4"/>
      <c r="BX783" s="4"/>
      <c r="BY783" s="4"/>
      <c r="BZ783" s="4"/>
      <c r="CA783" s="4"/>
      <c r="CB783" s="4"/>
      <c r="CC783" s="4"/>
      <c r="CD783" s="4"/>
      <c r="CE783" s="4"/>
      <c r="CF783" s="4"/>
    </row>
    <row r="784" spans="1:84" x14ac:dyDescent="0.3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c r="BB784" s="4"/>
      <c r="BC784" s="4"/>
      <c r="BD784" s="4"/>
      <c r="BE784" s="4"/>
      <c r="BF784" s="4"/>
      <c r="BG784" s="4"/>
      <c r="BH784" s="4"/>
      <c r="BI784" s="4"/>
      <c r="BJ784" s="4"/>
      <c r="BK784" s="4"/>
      <c r="BL784" s="4"/>
      <c r="BS784" s="4"/>
      <c r="BT784" s="4"/>
      <c r="BU784" s="4"/>
      <c r="BV784" s="4"/>
      <c r="BW784" s="4"/>
      <c r="BX784" s="4"/>
      <c r="BY784" s="4"/>
      <c r="BZ784" s="4"/>
      <c r="CA784" s="4"/>
      <c r="CB784" s="4"/>
      <c r="CC784" s="4"/>
      <c r="CD784" s="4"/>
      <c r="CE784" s="4"/>
      <c r="CF784" s="4"/>
    </row>
    <row r="785" spans="1:84" x14ac:dyDescent="0.3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c r="BB785" s="4"/>
      <c r="BC785" s="4"/>
      <c r="BD785" s="4"/>
      <c r="BE785" s="4"/>
      <c r="BF785" s="4"/>
      <c r="BG785" s="4"/>
      <c r="BH785" s="4"/>
      <c r="BI785" s="4"/>
      <c r="BJ785" s="4"/>
      <c r="BK785" s="4"/>
      <c r="BL785" s="4"/>
      <c r="BS785" s="4"/>
      <c r="BT785" s="4"/>
      <c r="BU785" s="4"/>
      <c r="BV785" s="4"/>
      <c r="BW785" s="4"/>
      <c r="BX785" s="4"/>
      <c r="BY785" s="4"/>
      <c r="BZ785" s="4"/>
      <c r="CA785" s="4"/>
      <c r="CB785" s="4"/>
      <c r="CC785" s="4"/>
      <c r="CD785" s="4"/>
      <c r="CE785" s="4"/>
      <c r="CF785" s="4"/>
    </row>
    <row r="786" spans="1:84" x14ac:dyDescent="0.3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c r="BB786" s="4"/>
      <c r="BC786" s="4"/>
      <c r="BD786" s="4"/>
      <c r="BE786" s="4"/>
      <c r="BF786" s="4"/>
      <c r="BG786" s="4"/>
      <c r="BH786" s="4"/>
      <c r="BI786" s="4"/>
      <c r="BJ786" s="4"/>
      <c r="BK786" s="4"/>
      <c r="BL786" s="4"/>
      <c r="BS786" s="4"/>
      <c r="BT786" s="4"/>
      <c r="BU786" s="4"/>
      <c r="BV786" s="4"/>
      <c r="BW786" s="4"/>
      <c r="BX786" s="4"/>
      <c r="BY786" s="4"/>
      <c r="BZ786" s="4"/>
      <c r="CA786" s="4"/>
      <c r="CB786" s="4"/>
      <c r="CC786" s="4"/>
      <c r="CD786" s="4"/>
      <c r="CE786" s="4"/>
      <c r="CF786" s="4"/>
    </row>
    <row r="787" spans="1:84" x14ac:dyDescent="0.3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c r="BB787" s="4"/>
      <c r="BC787" s="4"/>
      <c r="BD787" s="4"/>
      <c r="BE787" s="4"/>
      <c r="BF787" s="4"/>
      <c r="BG787" s="4"/>
      <c r="BH787" s="4"/>
      <c r="BI787" s="4"/>
      <c r="BJ787" s="4"/>
      <c r="BK787" s="4"/>
      <c r="BL787" s="4"/>
      <c r="BS787" s="4"/>
      <c r="BT787" s="4"/>
      <c r="BU787" s="4"/>
      <c r="BV787" s="4"/>
      <c r="BW787" s="4"/>
      <c r="BX787" s="4"/>
      <c r="BY787" s="4"/>
      <c r="BZ787" s="4"/>
      <c r="CA787" s="4"/>
      <c r="CB787" s="4"/>
      <c r="CC787" s="4"/>
      <c r="CD787" s="4"/>
      <c r="CE787" s="4"/>
      <c r="CF787" s="4"/>
    </row>
    <row r="788" spans="1:84" x14ac:dyDescent="0.3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c r="BB788" s="4"/>
      <c r="BC788" s="4"/>
      <c r="BD788" s="4"/>
      <c r="BE788" s="4"/>
      <c r="BF788" s="4"/>
      <c r="BG788" s="4"/>
      <c r="BH788" s="4"/>
      <c r="BI788" s="4"/>
      <c r="BJ788" s="4"/>
      <c r="BK788" s="4"/>
      <c r="BL788" s="4"/>
      <c r="BS788" s="4"/>
      <c r="BT788" s="4"/>
      <c r="BU788" s="4"/>
      <c r="BV788" s="4"/>
      <c r="BW788" s="4"/>
      <c r="BX788" s="4"/>
      <c r="BY788" s="4"/>
      <c r="BZ788" s="4"/>
      <c r="CA788" s="4"/>
      <c r="CB788" s="4"/>
      <c r="CC788" s="4"/>
      <c r="CD788" s="4"/>
      <c r="CE788" s="4"/>
      <c r="CF788" s="4"/>
    </row>
    <row r="789" spans="1:84" x14ac:dyDescent="0.3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c r="BB789" s="4"/>
      <c r="BC789" s="4"/>
      <c r="BD789" s="4"/>
      <c r="BE789" s="4"/>
      <c r="BF789" s="4"/>
      <c r="BG789" s="4"/>
      <c r="BH789" s="4"/>
      <c r="BI789" s="4"/>
      <c r="BJ789" s="4"/>
      <c r="BK789" s="4"/>
      <c r="BL789" s="4"/>
      <c r="BS789" s="4"/>
      <c r="BT789" s="4"/>
      <c r="BU789" s="4"/>
      <c r="BV789" s="4"/>
      <c r="BW789" s="4"/>
      <c r="BX789" s="4"/>
      <c r="BY789" s="4"/>
      <c r="BZ789" s="4"/>
      <c r="CA789" s="4"/>
      <c r="CB789" s="4"/>
      <c r="CC789" s="4"/>
      <c r="CD789" s="4"/>
      <c r="CE789" s="4"/>
      <c r="CF789" s="4"/>
    </row>
    <row r="790" spans="1:84" x14ac:dyDescent="0.3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c r="BB790" s="4"/>
      <c r="BC790" s="4"/>
      <c r="BD790" s="4"/>
      <c r="BE790" s="4"/>
      <c r="BF790" s="4"/>
      <c r="BG790" s="4"/>
      <c r="BH790" s="4"/>
      <c r="BI790" s="4"/>
      <c r="BJ790" s="4"/>
      <c r="BK790" s="4"/>
      <c r="BL790" s="4"/>
      <c r="BS790" s="4"/>
      <c r="BT790" s="4"/>
      <c r="BU790" s="4"/>
      <c r="BV790" s="4"/>
      <c r="BW790" s="4"/>
      <c r="BX790" s="4"/>
      <c r="BY790" s="4"/>
      <c r="BZ790" s="4"/>
      <c r="CA790" s="4"/>
      <c r="CB790" s="4"/>
      <c r="CC790" s="4"/>
      <c r="CD790" s="4"/>
      <c r="CE790" s="4"/>
      <c r="CF790" s="4"/>
    </row>
    <row r="791" spans="1:84" x14ac:dyDescent="0.3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c r="BB791" s="4"/>
      <c r="BC791" s="4"/>
      <c r="BD791" s="4"/>
      <c r="BE791" s="4"/>
      <c r="BF791" s="4"/>
      <c r="BG791" s="4"/>
      <c r="BH791" s="4"/>
      <c r="BI791" s="4"/>
      <c r="BJ791" s="4"/>
      <c r="BK791" s="4"/>
      <c r="BL791" s="4"/>
      <c r="BS791" s="4"/>
      <c r="BT791" s="4"/>
      <c r="BU791" s="4"/>
      <c r="BV791" s="4"/>
      <c r="BW791" s="4"/>
      <c r="BX791" s="4"/>
      <c r="BY791" s="4"/>
      <c r="BZ791" s="4"/>
      <c r="CA791" s="4"/>
      <c r="CB791" s="4"/>
      <c r="CC791" s="4"/>
      <c r="CD791" s="4"/>
      <c r="CE791" s="4"/>
      <c r="CF791" s="4"/>
    </row>
    <row r="792" spans="1:84" x14ac:dyDescent="0.3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c r="BB792" s="4"/>
      <c r="BC792" s="4"/>
      <c r="BD792" s="4"/>
      <c r="BE792" s="4"/>
      <c r="BF792" s="4"/>
      <c r="BG792" s="4"/>
      <c r="BH792" s="4"/>
      <c r="BI792" s="4"/>
      <c r="BJ792" s="4"/>
      <c r="BK792" s="4"/>
      <c r="BL792" s="4"/>
      <c r="BS792" s="4"/>
      <c r="BT792" s="4"/>
      <c r="BU792" s="4"/>
      <c r="BV792" s="4"/>
      <c r="BW792" s="4"/>
      <c r="BX792" s="4"/>
      <c r="BY792" s="4"/>
      <c r="BZ792" s="4"/>
      <c r="CA792" s="4"/>
      <c r="CB792" s="4"/>
      <c r="CC792" s="4"/>
      <c r="CD792" s="4"/>
      <c r="CE792" s="4"/>
      <c r="CF792" s="4"/>
    </row>
    <row r="793" spans="1:84" x14ac:dyDescent="0.3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c r="BB793" s="4"/>
      <c r="BC793" s="4"/>
      <c r="BD793" s="4"/>
      <c r="BE793" s="4"/>
      <c r="BF793" s="4"/>
      <c r="BG793" s="4"/>
      <c r="BH793" s="4"/>
      <c r="BI793" s="4"/>
      <c r="BJ793" s="4"/>
      <c r="BK793" s="4"/>
      <c r="BL793" s="4"/>
      <c r="BS793" s="4"/>
      <c r="BT793" s="4"/>
      <c r="BU793" s="4"/>
      <c r="BV793" s="4"/>
      <c r="BW793" s="4"/>
      <c r="BX793" s="4"/>
      <c r="BY793" s="4"/>
      <c r="BZ793" s="4"/>
      <c r="CA793" s="4"/>
      <c r="CB793" s="4"/>
      <c r="CC793" s="4"/>
      <c r="CD793" s="4"/>
      <c r="CE793" s="4"/>
      <c r="CF793" s="4"/>
    </row>
    <row r="794" spans="1:84" x14ac:dyDescent="0.3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c r="BB794" s="4"/>
      <c r="BC794" s="4"/>
      <c r="BD794" s="4"/>
      <c r="BE794" s="4"/>
      <c r="BF794" s="4"/>
      <c r="BG794" s="4"/>
      <c r="BH794" s="4"/>
      <c r="BI794" s="4"/>
      <c r="BJ794" s="4"/>
      <c r="BK794" s="4"/>
      <c r="BL794" s="4"/>
      <c r="BS794" s="4"/>
      <c r="BT794" s="4"/>
      <c r="BU794" s="4"/>
      <c r="BV794" s="4"/>
      <c r="BW794" s="4"/>
      <c r="BX794" s="4"/>
      <c r="BY794" s="4"/>
      <c r="BZ794" s="4"/>
      <c r="CA794" s="4"/>
      <c r="CB794" s="4"/>
      <c r="CC794" s="4"/>
      <c r="CD794" s="4"/>
      <c r="CE794" s="4"/>
      <c r="CF794" s="4"/>
    </row>
    <row r="795" spans="1:84" x14ac:dyDescent="0.3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c r="BB795" s="4"/>
      <c r="BC795" s="4"/>
      <c r="BD795" s="4"/>
      <c r="BE795" s="4"/>
      <c r="BF795" s="4"/>
      <c r="BG795" s="4"/>
      <c r="BH795" s="4"/>
      <c r="BI795" s="4"/>
      <c r="BJ795" s="4"/>
      <c r="BK795" s="4"/>
      <c r="BL795" s="4"/>
      <c r="BS795" s="4"/>
      <c r="BT795" s="4"/>
      <c r="BU795" s="4"/>
      <c r="BV795" s="4"/>
      <c r="BW795" s="4"/>
      <c r="BX795" s="4"/>
      <c r="BY795" s="4"/>
      <c r="BZ795" s="4"/>
      <c r="CA795" s="4"/>
      <c r="CB795" s="4"/>
      <c r="CC795" s="4"/>
      <c r="CD795" s="4"/>
      <c r="CE795" s="4"/>
      <c r="CF795" s="4"/>
    </row>
    <row r="796" spans="1:84" x14ac:dyDescent="0.3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c r="BB796" s="4"/>
      <c r="BC796" s="4"/>
      <c r="BD796" s="4"/>
      <c r="BE796" s="4"/>
      <c r="BF796" s="4"/>
      <c r="BG796" s="4"/>
      <c r="BH796" s="4"/>
      <c r="BI796" s="4"/>
      <c r="BJ796" s="4"/>
      <c r="BK796" s="4"/>
      <c r="BL796" s="4"/>
      <c r="BS796" s="4"/>
      <c r="BT796" s="4"/>
      <c r="BU796" s="4"/>
      <c r="BV796" s="4"/>
      <c r="BW796" s="4"/>
      <c r="BX796" s="4"/>
      <c r="BY796" s="4"/>
      <c r="BZ796" s="4"/>
      <c r="CA796" s="4"/>
      <c r="CB796" s="4"/>
      <c r="CC796" s="4"/>
      <c r="CD796" s="4"/>
      <c r="CE796" s="4"/>
      <c r="CF796" s="4"/>
    </row>
    <row r="797" spans="1:84" x14ac:dyDescent="0.3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c r="BB797" s="4"/>
      <c r="BC797" s="4"/>
      <c r="BD797" s="4"/>
      <c r="BE797" s="4"/>
      <c r="BF797" s="4"/>
      <c r="BG797" s="4"/>
      <c r="BH797" s="4"/>
      <c r="BI797" s="4"/>
      <c r="BJ797" s="4"/>
      <c r="BK797" s="4"/>
      <c r="BL797" s="4"/>
      <c r="BS797" s="4"/>
      <c r="BT797" s="4"/>
      <c r="BU797" s="4"/>
      <c r="BV797" s="4"/>
      <c r="BW797" s="4"/>
      <c r="BX797" s="4"/>
      <c r="BY797" s="4"/>
      <c r="BZ797" s="4"/>
      <c r="CA797" s="4"/>
      <c r="CB797" s="4"/>
      <c r="CC797" s="4"/>
      <c r="CD797" s="4"/>
      <c r="CE797" s="4"/>
      <c r="CF797" s="4"/>
    </row>
    <row r="798" spans="1:84" x14ac:dyDescent="0.3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c r="BB798" s="4"/>
      <c r="BC798" s="4"/>
      <c r="BD798" s="4"/>
      <c r="BE798" s="4"/>
      <c r="BF798" s="4"/>
      <c r="BG798" s="4"/>
      <c r="BH798" s="4"/>
      <c r="BI798" s="4"/>
      <c r="BJ798" s="4"/>
      <c r="BK798" s="4"/>
      <c r="BL798" s="4"/>
      <c r="BS798" s="4"/>
      <c r="BT798" s="4"/>
      <c r="BU798" s="4"/>
      <c r="BV798" s="4"/>
      <c r="BW798" s="4"/>
      <c r="BX798" s="4"/>
      <c r="BY798" s="4"/>
      <c r="BZ798" s="4"/>
      <c r="CA798" s="4"/>
      <c r="CB798" s="4"/>
      <c r="CC798" s="4"/>
      <c r="CD798" s="4"/>
      <c r="CE798" s="4"/>
      <c r="CF798" s="4"/>
    </row>
    <row r="799" spans="1:84" x14ac:dyDescent="0.3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c r="BB799" s="4"/>
      <c r="BC799" s="4"/>
      <c r="BD799" s="4"/>
      <c r="BE799" s="4"/>
      <c r="BF799" s="4"/>
      <c r="BG799" s="4"/>
      <c r="BH799" s="4"/>
      <c r="BI799" s="4"/>
      <c r="BJ799" s="4"/>
      <c r="BK799" s="4"/>
      <c r="BL799" s="4"/>
      <c r="BS799" s="4"/>
      <c r="BT799" s="4"/>
      <c r="BU799" s="4"/>
      <c r="BV799" s="4"/>
      <c r="BW799" s="4"/>
      <c r="BX799" s="4"/>
      <c r="BY799" s="4"/>
      <c r="BZ799" s="4"/>
      <c r="CA799" s="4"/>
      <c r="CB799" s="4"/>
      <c r="CC799" s="4"/>
      <c r="CD799" s="4"/>
      <c r="CE799" s="4"/>
      <c r="CF799" s="4"/>
    </row>
    <row r="800" spans="1:84" x14ac:dyDescent="0.3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c r="BB800" s="4"/>
      <c r="BC800" s="4"/>
      <c r="BD800" s="4"/>
      <c r="BE800" s="4"/>
      <c r="BF800" s="4"/>
      <c r="BG800" s="4"/>
      <c r="BH800" s="4"/>
      <c r="BI800" s="4"/>
      <c r="BJ800" s="4"/>
      <c r="BK800" s="4"/>
      <c r="BL800" s="4"/>
      <c r="BS800" s="4"/>
      <c r="BT800" s="4"/>
      <c r="BU800" s="4"/>
      <c r="BV800" s="4"/>
      <c r="BW800" s="4"/>
      <c r="BX800" s="4"/>
      <c r="BY800" s="4"/>
      <c r="BZ800" s="4"/>
      <c r="CA800" s="4"/>
      <c r="CB800" s="4"/>
      <c r="CC800" s="4"/>
      <c r="CD800" s="4"/>
      <c r="CE800" s="4"/>
      <c r="CF800" s="4"/>
    </row>
    <row r="801" spans="1:84" x14ac:dyDescent="0.3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c r="BB801" s="4"/>
      <c r="BC801" s="4"/>
      <c r="BD801" s="4"/>
      <c r="BE801" s="4"/>
      <c r="BF801" s="4"/>
      <c r="BG801" s="4"/>
      <c r="BH801" s="4"/>
      <c r="BI801" s="4"/>
      <c r="BJ801" s="4"/>
      <c r="BK801" s="4"/>
      <c r="BL801" s="4"/>
      <c r="BS801" s="4"/>
      <c r="BT801" s="4"/>
      <c r="BU801" s="4"/>
      <c r="BV801" s="4"/>
      <c r="BW801" s="4"/>
      <c r="BX801" s="4"/>
      <c r="BY801" s="4"/>
      <c r="BZ801" s="4"/>
      <c r="CA801" s="4"/>
      <c r="CB801" s="4"/>
      <c r="CC801" s="4"/>
      <c r="CD801" s="4"/>
      <c r="CE801" s="4"/>
      <c r="CF801" s="4"/>
    </row>
    <row r="802" spans="1:84" x14ac:dyDescent="0.3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c r="BB802" s="4"/>
      <c r="BC802" s="4"/>
      <c r="BD802" s="4"/>
      <c r="BE802" s="4"/>
      <c r="BF802" s="4"/>
      <c r="BG802" s="4"/>
      <c r="BH802" s="4"/>
      <c r="BI802" s="4"/>
      <c r="BJ802" s="4"/>
      <c r="BK802" s="4"/>
      <c r="BL802" s="4"/>
      <c r="BS802" s="4"/>
      <c r="BT802" s="4"/>
      <c r="BU802" s="4"/>
      <c r="BV802" s="4"/>
      <c r="BW802" s="4"/>
      <c r="BX802" s="4"/>
      <c r="BY802" s="4"/>
      <c r="BZ802" s="4"/>
      <c r="CA802" s="4"/>
      <c r="CB802" s="4"/>
      <c r="CC802" s="4"/>
      <c r="CD802" s="4"/>
      <c r="CE802" s="4"/>
      <c r="CF802" s="4"/>
    </row>
    <row r="803" spans="1:84" x14ac:dyDescent="0.3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c r="BB803" s="4"/>
      <c r="BC803" s="4"/>
      <c r="BD803" s="4"/>
      <c r="BE803" s="4"/>
      <c r="BF803" s="4"/>
      <c r="BG803" s="4"/>
      <c r="BH803" s="4"/>
      <c r="BI803" s="4"/>
      <c r="BJ803" s="4"/>
      <c r="BK803" s="4"/>
      <c r="BL803" s="4"/>
      <c r="BS803" s="4"/>
      <c r="BT803" s="4"/>
      <c r="BU803" s="4"/>
      <c r="BV803" s="4"/>
      <c r="BW803" s="4"/>
      <c r="BX803" s="4"/>
      <c r="BY803" s="4"/>
      <c r="BZ803" s="4"/>
      <c r="CA803" s="4"/>
      <c r="CB803" s="4"/>
      <c r="CC803" s="4"/>
      <c r="CD803" s="4"/>
      <c r="CE803" s="4"/>
      <c r="CF803" s="4"/>
    </row>
    <row r="804" spans="1:84" x14ac:dyDescent="0.3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c r="BB804" s="4"/>
      <c r="BC804" s="4"/>
      <c r="BD804" s="4"/>
      <c r="BE804" s="4"/>
      <c r="BF804" s="4"/>
      <c r="BG804" s="4"/>
      <c r="BH804" s="4"/>
      <c r="BI804" s="4"/>
      <c r="BJ804" s="4"/>
      <c r="BK804" s="4"/>
      <c r="BL804" s="4"/>
      <c r="BS804" s="4"/>
      <c r="BT804" s="4"/>
      <c r="BU804" s="4"/>
      <c r="BV804" s="4"/>
      <c r="BW804" s="4"/>
      <c r="BX804" s="4"/>
      <c r="BY804" s="4"/>
      <c r="BZ804" s="4"/>
      <c r="CA804" s="4"/>
      <c r="CB804" s="4"/>
      <c r="CC804" s="4"/>
      <c r="CD804" s="4"/>
      <c r="CE804" s="4"/>
      <c r="CF804" s="4"/>
    </row>
    <row r="805" spans="1:84" x14ac:dyDescent="0.3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c r="BB805" s="4"/>
      <c r="BC805" s="4"/>
      <c r="BD805" s="4"/>
      <c r="BE805" s="4"/>
      <c r="BF805" s="4"/>
      <c r="BG805" s="4"/>
      <c r="BH805" s="4"/>
      <c r="BI805" s="4"/>
      <c r="BJ805" s="4"/>
      <c r="BK805" s="4"/>
      <c r="BL805" s="4"/>
      <c r="BS805" s="4"/>
      <c r="BT805" s="4"/>
      <c r="BU805" s="4"/>
      <c r="BV805" s="4"/>
      <c r="BW805" s="4"/>
      <c r="BX805" s="4"/>
      <c r="BY805" s="4"/>
      <c r="BZ805" s="4"/>
      <c r="CA805" s="4"/>
      <c r="CB805" s="4"/>
      <c r="CC805" s="4"/>
      <c r="CD805" s="4"/>
      <c r="CE805" s="4"/>
      <c r="CF805" s="4"/>
    </row>
    <row r="806" spans="1:84" x14ac:dyDescent="0.3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c r="BB806" s="4"/>
      <c r="BC806" s="4"/>
      <c r="BD806" s="4"/>
      <c r="BE806" s="4"/>
      <c r="BF806" s="4"/>
      <c r="BG806" s="4"/>
      <c r="BH806" s="4"/>
      <c r="BI806" s="4"/>
      <c r="BJ806" s="4"/>
      <c r="BK806" s="4"/>
      <c r="BL806" s="4"/>
      <c r="BS806" s="4"/>
      <c r="BT806" s="4"/>
      <c r="BU806" s="4"/>
      <c r="BV806" s="4"/>
      <c r="BW806" s="4"/>
      <c r="BX806" s="4"/>
      <c r="BY806" s="4"/>
      <c r="BZ806" s="4"/>
      <c r="CA806" s="4"/>
      <c r="CB806" s="4"/>
      <c r="CC806" s="4"/>
      <c r="CD806" s="4"/>
      <c r="CE806" s="4"/>
      <c r="CF806" s="4"/>
    </row>
    <row r="807" spans="1:84" x14ac:dyDescent="0.3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c r="BB807" s="4"/>
      <c r="BC807" s="4"/>
      <c r="BD807" s="4"/>
      <c r="BE807" s="4"/>
      <c r="BF807" s="4"/>
      <c r="BG807" s="4"/>
      <c r="BH807" s="4"/>
      <c r="BI807" s="4"/>
      <c r="BJ807" s="4"/>
      <c r="BK807" s="4"/>
      <c r="BL807" s="4"/>
      <c r="BS807" s="4"/>
      <c r="BT807" s="4"/>
      <c r="BU807" s="4"/>
      <c r="BV807" s="4"/>
      <c r="BW807" s="4"/>
      <c r="BX807" s="4"/>
      <c r="BY807" s="4"/>
      <c r="BZ807" s="4"/>
      <c r="CA807" s="4"/>
      <c r="CB807" s="4"/>
      <c r="CC807" s="4"/>
      <c r="CD807" s="4"/>
      <c r="CE807" s="4"/>
      <c r="CF807" s="4"/>
    </row>
    <row r="808" spans="1:84" x14ac:dyDescent="0.3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c r="BB808" s="4"/>
      <c r="BC808" s="4"/>
      <c r="BD808" s="4"/>
      <c r="BE808" s="4"/>
      <c r="BF808" s="4"/>
      <c r="BG808" s="4"/>
      <c r="BH808" s="4"/>
      <c r="BI808" s="4"/>
      <c r="BJ808" s="4"/>
      <c r="BK808" s="4"/>
      <c r="BL808" s="4"/>
      <c r="BS808" s="4"/>
      <c r="BT808" s="4"/>
      <c r="BU808" s="4"/>
      <c r="BV808" s="4"/>
      <c r="BW808" s="4"/>
      <c r="BX808" s="4"/>
      <c r="BY808" s="4"/>
      <c r="BZ808" s="4"/>
      <c r="CA808" s="4"/>
      <c r="CB808" s="4"/>
      <c r="CC808" s="4"/>
      <c r="CD808" s="4"/>
      <c r="CE808" s="4"/>
      <c r="CF808" s="4"/>
    </row>
    <row r="809" spans="1:84" x14ac:dyDescent="0.3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c r="BB809" s="4"/>
      <c r="BC809" s="4"/>
      <c r="BD809" s="4"/>
      <c r="BE809" s="4"/>
      <c r="BF809" s="4"/>
      <c r="BG809" s="4"/>
      <c r="BH809" s="4"/>
      <c r="BI809" s="4"/>
      <c r="BJ809" s="4"/>
      <c r="BK809" s="4"/>
      <c r="BL809" s="4"/>
      <c r="BS809" s="4"/>
      <c r="BT809" s="4"/>
      <c r="BU809" s="4"/>
      <c r="BV809" s="4"/>
      <c r="BW809" s="4"/>
      <c r="BX809" s="4"/>
      <c r="BY809" s="4"/>
      <c r="BZ809" s="4"/>
      <c r="CA809" s="4"/>
      <c r="CB809" s="4"/>
      <c r="CC809" s="4"/>
      <c r="CD809" s="4"/>
      <c r="CE809" s="4"/>
      <c r="CF809" s="4"/>
    </row>
    <row r="810" spans="1:84" x14ac:dyDescent="0.3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c r="BB810" s="4"/>
      <c r="BC810" s="4"/>
      <c r="BD810" s="4"/>
      <c r="BE810" s="4"/>
      <c r="BF810" s="4"/>
      <c r="BG810" s="4"/>
      <c r="BH810" s="4"/>
      <c r="BI810" s="4"/>
      <c r="BJ810" s="4"/>
      <c r="BK810" s="4"/>
      <c r="BL810" s="4"/>
      <c r="BS810" s="4"/>
      <c r="BT810" s="4"/>
      <c r="BU810" s="4"/>
      <c r="BV810" s="4"/>
      <c r="BW810" s="4"/>
      <c r="BX810" s="4"/>
      <c r="BY810" s="4"/>
      <c r="BZ810" s="4"/>
      <c r="CA810" s="4"/>
      <c r="CB810" s="4"/>
      <c r="CC810" s="4"/>
      <c r="CD810" s="4"/>
      <c r="CE810" s="4"/>
      <c r="CF810" s="4"/>
    </row>
    <row r="811" spans="1:84" x14ac:dyDescent="0.3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c r="BB811" s="4"/>
      <c r="BC811" s="4"/>
      <c r="BD811" s="4"/>
      <c r="BE811" s="4"/>
      <c r="BF811" s="4"/>
      <c r="BG811" s="4"/>
      <c r="BH811" s="4"/>
      <c r="BI811" s="4"/>
      <c r="BJ811" s="4"/>
      <c r="BK811" s="4"/>
      <c r="BL811" s="4"/>
      <c r="BS811" s="4"/>
      <c r="BT811" s="4"/>
      <c r="BU811" s="4"/>
      <c r="BV811" s="4"/>
      <c r="BW811" s="4"/>
      <c r="BX811" s="4"/>
      <c r="BY811" s="4"/>
      <c r="BZ811" s="4"/>
      <c r="CA811" s="4"/>
      <c r="CB811" s="4"/>
      <c r="CC811" s="4"/>
      <c r="CD811" s="4"/>
      <c r="CE811" s="4"/>
      <c r="CF811" s="4"/>
    </row>
    <row r="812" spans="1:84" x14ac:dyDescent="0.3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c r="BB812" s="4"/>
      <c r="BC812" s="4"/>
      <c r="BD812" s="4"/>
      <c r="BE812" s="4"/>
      <c r="BF812" s="4"/>
      <c r="BG812" s="4"/>
      <c r="BH812" s="4"/>
      <c r="BI812" s="4"/>
      <c r="BJ812" s="4"/>
      <c r="BK812" s="4"/>
      <c r="BL812" s="4"/>
      <c r="BS812" s="4"/>
      <c r="BT812" s="4"/>
      <c r="BU812" s="4"/>
      <c r="BV812" s="4"/>
      <c r="BW812" s="4"/>
      <c r="BX812" s="4"/>
      <c r="BY812" s="4"/>
      <c r="BZ812" s="4"/>
      <c r="CA812" s="4"/>
      <c r="CB812" s="4"/>
      <c r="CC812" s="4"/>
      <c r="CD812" s="4"/>
      <c r="CE812" s="4"/>
      <c r="CF812" s="4"/>
    </row>
    <row r="813" spans="1:84" x14ac:dyDescent="0.3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c r="BB813" s="4"/>
      <c r="BC813" s="4"/>
      <c r="BD813" s="4"/>
      <c r="BE813" s="4"/>
      <c r="BF813" s="4"/>
      <c r="BG813" s="4"/>
      <c r="BH813" s="4"/>
      <c r="BI813" s="4"/>
      <c r="BJ813" s="4"/>
      <c r="BK813" s="4"/>
      <c r="BL813" s="4"/>
      <c r="BS813" s="4"/>
      <c r="BT813" s="4"/>
      <c r="BU813" s="4"/>
      <c r="BV813" s="4"/>
      <c r="BW813" s="4"/>
      <c r="BX813" s="4"/>
      <c r="BY813" s="4"/>
      <c r="BZ813" s="4"/>
      <c r="CA813" s="4"/>
      <c r="CB813" s="4"/>
      <c r="CC813" s="4"/>
      <c r="CD813" s="4"/>
      <c r="CE813" s="4"/>
      <c r="CF813" s="4"/>
    </row>
    <row r="814" spans="1:84" x14ac:dyDescent="0.3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c r="BB814" s="4"/>
      <c r="BC814" s="4"/>
      <c r="BD814" s="4"/>
      <c r="BE814" s="4"/>
      <c r="BF814" s="4"/>
      <c r="BG814" s="4"/>
      <c r="BH814" s="4"/>
      <c r="BI814" s="4"/>
      <c r="BJ814" s="4"/>
      <c r="BK814" s="4"/>
      <c r="BL814" s="4"/>
      <c r="BS814" s="4"/>
      <c r="BT814" s="4"/>
      <c r="BU814" s="4"/>
      <c r="BV814" s="4"/>
      <c r="BW814" s="4"/>
      <c r="BX814" s="4"/>
      <c r="BY814" s="4"/>
      <c r="BZ814" s="4"/>
      <c r="CA814" s="4"/>
      <c r="CB814" s="4"/>
      <c r="CC814" s="4"/>
      <c r="CD814" s="4"/>
      <c r="CE814" s="4"/>
      <c r="CF814" s="4"/>
    </row>
    <row r="815" spans="1:84" x14ac:dyDescent="0.3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c r="BB815" s="4"/>
      <c r="BC815" s="4"/>
      <c r="BD815" s="4"/>
      <c r="BE815" s="4"/>
      <c r="BF815" s="4"/>
      <c r="BG815" s="4"/>
      <c r="BH815" s="4"/>
      <c r="BI815" s="4"/>
      <c r="BJ815" s="4"/>
      <c r="BK815" s="4"/>
      <c r="BL815" s="4"/>
      <c r="BS815" s="4"/>
      <c r="BT815" s="4"/>
      <c r="BU815" s="4"/>
      <c r="BV815" s="4"/>
      <c r="BW815" s="4"/>
      <c r="BX815" s="4"/>
      <c r="BY815" s="4"/>
      <c r="BZ815" s="4"/>
      <c r="CA815" s="4"/>
      <c r="CB815" s="4"/>
      <c r="CC815" s="4"/>
      <c r="CD815" s="4"/>
      <c r="CE815" s="4"/>
      <c r="CF815" s="4"/>
    </row>
    <row r="816" spans="1:84" x14ac:dyDescent="0.3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c r="BB816" s="4"/>
      <c r="BC816" s="4"/>
      <c r="BD816" s="4"/>
      <c r="BE816" s="4"/>
      <c r="BF816" s="4"/>
      <c r="BG816" s="4"/>
      <c r="BH816" s="4"/>
      <c r="BI816" s="4"/>
      <c r="BJ816" s="4"/>
      <c r="BK816" s="4"/>
      <c r="BL816" s="4"/>
      <c r="BS816" s="4"/>
      <c r="BT816" s="4"/>
      <c r="BU816" s="4"/>
      <c r="BV816" s="4"/>
      <c r="BW816" s="4"/>
      <c r="BX816" s="4"/>
      <c r="BY816" s="4"/>
      <c r="BZ816" s="4"/>
      <c r="CA816" s="4"/>
      <c r="CB816" s="4"/>
      <c r="CC816" s="4"/>
      <c r="CD816" s="4"/>
      <c r="CE816" s="4"/>
      <c r="CF816" s="4"/>
    </row>
    <row r="817" spans="1:84" x14ac:dyDescent="0.3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c r="BB817" s="4"/>
      <c r="BC817" s="4"/>
      <c r="BD817" s="4"/>
      <c r="BE817" s="4"/>
      <c r="BF817" s="4"/>
      <c r="BG817" s="4"/>
      <c r="BH817" s="4"/>
      <c r="BI817" s="4"/>
      <c r="BJ817" s="4"/>
      <c r="BK817" s="4"/>
      <c r="BL817" s="4"/>
      <c r="BS817" s="4"/>
      <c r="BT817" s="4"/>
      <c r="BU817" s="4"/>
      <c r="BV817" s="4"/>
      <c r="BW817" s="4"/>
      <c r="BX817" s="4"/>
      <c r="BY817" s="4"/>
      <c r="BZ817" s="4"/>
      <c r="CA817" s="4"/>
      <c r="CB817" s="4"/>
      <c r="CC817" s="4"/>
      <c r="CD817" s="4"/>
      <c r="CE817" s="4"/>
      <c r="CF817" s="4"/>
    </row>
    <row r="818" spans="1:84" x14ac:dyDescent="0.3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c r="BB818" s="4"/>
      <c r="BC818" s="4"/>
      <c r="BD818" s="4"/>
      <c r="BE818" s="4"/>
      <c r="BF818" s="4"/>
      <c r="BG818" s="4"/>
      <c r="BH818" s="4"/>
      <c r="BI818" s="4"/>
      <c r="BJ818" s="4"/>
      <c r="BK818" s="4"/>
      <c r="BL818" s="4"/>
      <c r="BS818" s="4"/>
      <c r="BT818" s="4"/>
      <c r="BU818" s="4"/>
      <c r="BV818" s="4"/>
      <c r="BW818" s="4"/>
      <c r="BX818" s="4"/>
      <c r="BY818" s="4"/>
      <c r="BZ818" s="4"/>
      <c r="CA818" s="4"/>
      <c r="CB818" s="4"/>
      <c r="CC818" s="4"/>
      <c r="CD818" s="4"/>
      <c r="CE818" s="4"/>
      <c r="CF818" s="4"/>
    </row>
    <row r="819" spans="1:84" x14ac:dyDescent="0.3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c r="BB819" s="4"/>
      <c r="BC819" s="4"/>
      <c r="BD819" s="4"/>
      <c r="BE819" s="4"/>
      <c r="BF819" s="4"/>
      <c r="BG819" s="4"/>
      <c r="BH819" s="4"/>
      <c r="BI819" s="4"/>
      <c r="BJ819" s="4"/>
      <c r="BK819" s="4"/>
      <c r="BL819" s="4"/>
      <c r="BS819" s="4"/>
      <c r="BT819" s="4"/>
      <c r="BU819" s="4"/>
      <c r="BV819" s="4"/>
      <c r="BW819" s="4"/>
      <c r="BX819" s="4"/>
      <c r="BY819" s="4"/>
      <c r="BZ819" s="4"/>
      <c r="CA819" s="4"/>
      <c r="CB819" s="4"/>
      <c r="CC819" s="4"/>
      <c r="CD819" s="4"/>
      <c r="CE819" s="4"/>
      <c r="CF819" s="4"/>
    </row>
    <row r="820" spans="1:84" x14ac:dyDescent="0.3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c r="BB820" s="4"/>
      <c r="BC820" s="4"/>
      <c r="BD820" s="4"/>
      <c r="BE820" s="4"/>
      <c r="BF820" s="4"/>
      <c r="BG820" s="4"/>
      <c r="BH820" s="4"/>
      <c r="BI820" s="4"/>
      <c r="BJ820" s="4"/>
      <c r="BK820" s="4"/>
      <c r="BL820" s="4"/>
      <c r="BS820" s="4"/>
      <c r="BT820" s="4"/>
      <c r="BU820" s="4"/>
      <c r="BV820" s="4"/>
      <c r="BW820" s="4"/>
      <c r="BX820" s="4"/>
      <c r="BY820" s="4"/>
      <c r="BZ820" s="4"/>
      <c r="CA820" s="4"/>
      <c r="CB820" s="4"/>
      <c r="CC820" s="4"/>
      <c r="CD820" s="4"/>
      <c r="CE820" s="4"/>
      <c r="CF820" s="4"/>
    </row>
    <row r="821" spans="1:84" x14ac:dyDescent="0.3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c r="BB821" s="4"/>
      <c r="BC821" s="4"/>
      <c r="BD821" s="4"/>
      <c r="BE821" s="4"/>
      <c r="BF821" s="4"/>
      <c r="BG821" s="4"/>
      <c r="BH821" s="4"/>
      <c r="BI821" s="4"/>
      <c r="BJ821" s="4"/>
      <c r="BK821" s="4"/>
      <c r="BL821" s="4"/>
      <c r="BS821" s="4"/>
      <c r="BT821" s="4"/>
      <c r="BU821" s="4"/>
      <c r="BV821" s="4"/>
      <c r="BW821" s="4"/>
      <c r="BX821" s="4"/>
      <c r="BY821" s="4"/>
      <c r="BZ821" s="4"/>
      <c r="CA821" s="4"/>
      <c r="CB821" s="4"/>
      <c r="CC821" s="4"/>
      <c r="CD821" s="4"/>
      <c r="CE821" s="4"/>
      <c r="CF821" s="4"/>
    </row>
    <row r="822" spans="1:84" x14ac:dyDescent="0.3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c r="BB822" s="4"/>
      <c r="BC822" s="4"/>
      <c r="BD822" s="4"/>
      <c r="BE822" s="4"/>
      <c r="BF822" s="4"/>
      <c r="BG822" s="4"/>
      <c r="BH822" s="4"/>
      <c r="BI822" s="4"/>
      <c r="BJ822" s="4"/>
      <c r="BK822" s="4"/>
      <c r="BL822" s="4"/>
      <c r="BS822" s="4"/>
      <c r="BT822" s="4"/>
      <c r="BU822" s="4"/>
      <c r="BV822" s="4"/>
      <c r="BW822" s="4"/>
      <c r="BX822" s="4"/>
      <c r="BY822" s="4"/>
      <c r="BZ822" s="4"/>
      <c r="CA822" s="4"/>
      <c r="CB822" s="4"/>
      <c r="CC822" s="4"/>
      <c r="CD822" s="4"/>
      <c r="CE822" s="4"/>
      <c r="CF822" s="4"/>
    </row>
    <row r="823" spans="1:84" x14ac:dyDescent="0.3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c r="BB823" s="4"/>
      <c r="BC823" s="4"/>
      <c r="BD823" s="4"/>
      <c r="BE823" s="4"/>
      <c r="BF823" s="4"/>
      <c r="BG823" s="4"/>
      <c r="BH823" s="4"/>
      <c r="BI823" s="4"/>
      <c r="BJ823" s="4"/>
      <c r="BK823" s="4"/>
      <c r="BL823" s="4"/>
      <c r="BS823" s="4"/>
      <c r="BT823" s="4"/>
      <c r="BU823" s="4"/>
      <c r="BV823" s="4"/>
      <c r="BW823" s="4"/>
      <c r="BX823" s="4"/>
      <c r="BY823" s="4"/>
      <c r="BZ823" s="4"/>
      <c r="CA823" s="4"/>
      <c r="CB823" s="4"/>
      <c r="CC823" s="4"/>
      <c r="CD823" s="4"/>
      <c r="CE823" s="4"/>
      <c r="CF823" s="4"/>
    </row>
    <row r="824" spans="1:84" x14ac:dyDescent="0.3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c r="BB824" s="4"/>
      <c r="BC824" s="4"/>
      <c r="BD824" s="4"/>
      <c r="BE824" s="4"/>
      <c r="BF824" s="4"/>
      <c r="BG824" s="4"/>
      <c r="BH824" s="4"/>
      <c r="BI824" s="4"/>
      <c r="BJ824" s="4"/>
      <c r="BK824" s="4"/>
      <c r="BL824" s="4"/>
      <c r="BS824" s="4"/>
      <c r="BT824" s="4"/>
      <c r="BU824" s="4"/>
      <c r="BV824" s="4"/>
      <c r="BW824" s="4"/>
      <c r="BX824" s="4"/>
      <c r="BY824" s="4"/>
      <c r="BZ824" s="4"/>
      <c r="CA824" s="4"/>
      <c r="CB824" s="4"/>
      <c r="CC824" s="4"/>
      <c r="CD824" s="4"/>
      <c r="CE824" s="4"/>
      <c r="CF824" s="4"/>
    </row>
    <row r="825" spans="1:84" x14ac:dyDescent="0.3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c r="BB825" s="4"/>
      <c r="BC825" s="4"/>
      <c r="BD825" s="4"/>
      <c r="BE825" s="4"/>
      <c r="BF825" s="4"/>
      <c r="BG825" s="4"/>
      <c r="BH825" s="4"/>
      <c r="BI825" s="4"/>
      <c r="BJ825" s="4"/>
      <c r="BK825" s="4"/>
      <c r="BL825" s="4"/>
      <c r="BS825" s="4"/>
      <c r="BT825" s="4"/>
      <c r="BU825" s="4"/>
      <c r="BV825" s="4"/>
      <c r="BW825" s="4"/>
      <c r="BX825" s="4"/>
      <c r="BY825" s="4"/>
      <c r="BZ825" s="4"/>
      <c r="CA825" s="4"/>
      <c r="CB825" s="4"/>
      <c r="CC825" s="4"/>
      <c r="CD825" s="4"/>
      <c r="CE825" s="4"/>
      <c r="CF825" s="4"/>
    </row>
    <row r="826" spans="1:84" x14ac:dyDescent="0.3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c r="BB826" s="4"/>
      <c r="BC826" s="4"/>
      <c r="BD826" s="4"/>
      <c r="BE826" s="4"/>
      <c r="BF826" s="4"/>
      <c r="BG826" s="4"/>
      <c r="BH826" s="4"/>
      <c r="BI826" s="4"/>
      <c r="BJ826" s="4"/>
      <c r="BK826" s="4"/>
      <c r="BL826" s="4"/>
      <c r="BS826" s="4"/>
      <c r="BT826" s="4"/>
      <c r="BU826" s="4"/>
      <c r="BV826" s="4"/>
      <c r="BW826" s="4"/>
      <c r="BX826" s="4"/>
      <c r="BY826" s="4"/>
      <c r="BZ826" s="4"/>
      <c r="CA826" s="4"/>
      <c r="CB826" s="4"/>
      <c r="CC826" s="4"/>
      <c r="CD826" s="4"/>
      <c r="CE826" s="4"/>
      <c r="CF826" s="4"/>
    </row>
    <row r="827" spans="1:84" x14ac:dyDescent="0.3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c r="BB827" s="4"/>
      <c r="BC827" s="4"/>
      <c r="BD827" s="4"/>
      <c r="BE827" s="4"/>
      <c r="BF827" s="4"/>
      <c r="BG827" s="4"/>
      <c r="BH827" s="4"/>
      <c r="BI827" s="4"/>
      <c r="BJ827" s="4"/>
      <c r="BK827" s="4"/>
      <c r="BL827" s="4"/>
      <c r="BS827" s="4"/>
      <c r="BT827" s="4"/>
      <c r="BU827" s="4"/>
      <c r="BV827" s="4"/>
      <c r="BW827" s="4"/>
      <c r="BX827" s="4"/>
      <c r="BY827" s="4"/>
      <c r="BZ827" s="4"/>
      <c r="CA827" s="4"/>
      <c r="CB827" s="4"/>
      <c r="CC827" s="4"/>
      <c r="CD827" s="4"/>
      <c r="CE827" s="4"/>
      <c r="CF827" s="4"/>
    </row>
    <row r="828" spans="1:84" x14ac:dyDescent="0.3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c r="BB828" s="4"/>
      <c r="BC828" s="4"/>
      <c r="BD828" s="4"/>
      <c r="BE828" s="4"/>
      <c r="BF828" s="4"/>
      <c r="BG828" s="4"/>
      <c r="BH828" s="4"/>
      <c r="BI828" s="4"/>
      <c r="BJ828" s="4"/>
      <c r="BK828" s="4"/>
      <c r="BL828" s="4"/>
      <c r="BS828" s="4"/>
      <c r="BT828" s="4"/>
      <c r="BU828" s="4"/>
      <c r="BV828" s="4"/>
      <c r="BW828" s="4"/>
      <c r="BX828" s="4"/>
      <c r="BY828" s="4"/>
      <c r="BZ828" s="4"/>
      <c r="CA828" s="4"/>
      <c r="CB828" s="4"/>
      <c r="CC828" s="4"/>
      <c r="CD828" s="4"/>
      <c r="CE828" s="4"/>
      <c r="CF828" s="4"/>
    </row>
    <row r="829" spans="1:84" x14ac:dyDescent="0.3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c r="BB829" s="4"/>
      <c r="BC829" s="4"/>
      <c r="BD829" s="4"/>
      <c r="BE829" s="4"/>
      <c r="BF829" s="4"/>
      <c r="BG829" s="4"/>
      <c r="BH829" s="4"/>
      <c r="BI829" s="4"/>
      <c r="BJ829" s="4"/>
      <c r="BK829" s="4"/>
      <c r="BL829" s="4"/>
      <c r="BS829" s="4"/>
      <c r="BT829" s="4"/>
      <c r="BU829" s="4"/>
      <c r="BV829" s="4"/>
      <c r="BW829" s="4"/>
      <c r="BX829" s="4"/>
      <c r="BY829" s="4"/>
      <c r="BZ829" s="4"/>
      <c r="CA829" s="4"/>
      <c r="CB829" s="4"/>
      <c r="CC829" s="4"/>
      <c r="CD829" s="4"/>
      <c r="CE829" s="4"/>
      <c r="CF829" s="4"/>
    </row>
    <row r="830" spans="1:84" x14ac:dyDescent="0.3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c r="BB830" s="4"/>
      <c r="BC830" s="4"/>
      <c r="BD830" s="4"/>
      <c r="BE830" s="4"/>
      <c r="BF830" s="4"/>
      <c r="BG830" s="4"/>
      <c r="BH830" s="4"/>
      <c r="BI830" s="4"/>
      <c r="BJ830" s="4"/>
      <c r="BK830" s="4"/>
      <c r="BL830" s="4"/>
      <c r="BS830" s="4"/>
      <c r="BT830" s="4"/>
      <c r="BU830" s="4"/>
      <c r="BV830" s="4"/>
      <c r="BW830" s="4"/>
      <c r="BX830" s="4"/>
      <c r="BY830" s="4"/>
      <c r="BZ830" s="4"/>
      <c r="CA830" s="4"/>
      <c r="CB830" s="4"/>
      <c r="CC830" s="4"/>
      <c r="CD830" s="4"/>
      <c r="CE830" s="4"/>
      <c r="CF830" s="4"/>
    </row>
    <row r="831" spans="1:84" x14ac:dyDescent="0.3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c r="BB831" s="4"/>
      <c r="BC831" s="4"/>
      <c r="BD831" s="4"/>
      <c r="BE831" s="4"/>
      <c r="BF831" s="4"/>
      <c r="BG831" s="4"/>
      <c r="BH831" s="4"/>
      <c r="BI831" s="4"/>
      <c r="BJ831" s="4"/>
      <c r="BK831" s="4"/>
      <c r="BL831" s="4"/>
      <c r="BS831" s="4"/>
      <c r="BT831" s="4"/>
      <c r="BU831" s="4"/>
      <c r="BV831" s="4"/>
      <c r="BW831" s="4"/>
      <c r="BX831" s="4"/>
      <c r="BY831" s="4"/>
      <c r="BZ831" s="4"/>
      <c r="CA831" s="4"/>
      <c r="CB831" s="4"/>
      <c r="CC831" s="4"/>
      <c r="CD831" s="4"/>
      <c r="CE831" s="4"/>
      <c r="CF831" s="4"/>
    </row>
    <row r="832" spans="1:84" x14ac:dyDescent="0.3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c r="BB832" s="4"/>
      <c r="BC832" s="4"/>
      <c r="BD832" s="4"/>
      <c r="BE832" s="4"/>
      <c r="BF832" s="4"/>
      <c r="BG832" s="4"/>
      <c r="BH832" s="4"/>
      <c r="BI832" s="4"/>
      <c r="BJ832" s="4"/>
      <c r="BK832" s="4"/>
      <c r="BL832" s="4"/>
      <c r="BS832" s="4"/>
      <c r="BT832" s="4"/>
      <c r="BU832" s="4"/>
      <c r="BV832" s="4"/>
      <c r="BW832" s="4"/>
      <c r="BX832" s="4"/>
      <c r="BY832" s="4"/>
      <c r="BZ832" s="4"/>
      <c r="CA832" s="4"/>
      <c r="CB832" s="4"/>
      <c r="CC832" s="4"/>
      <c r="CD832" s="4"/>
      <c r="CE832" s="4"/>
      <c r="CF832" s="4"/>
    </row>
    <row r="833" spans="1:84" x14ac:dyDescent="0.3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c r="BB833" s="4"/>
      <c r="BC833" s="4"/>
      <c r="BD833" s="4"/>
      <c r="BE833" s="4"/>
      <c r="BF833" s="4"/>
      <c r="BG833" s="4"/>
      <c r="BH833" s="4"/>
      <c r="BI833" s="4"/>
      <c r="BJ833" s="4"/>
      <c r="BK833" s="4"/>
      <c r="BL833" s="4"/>
      <c r="BS833" s="4"/>
      <c r="BT833" s="4"/>
      <c r="BU833" s="4"/>
      <c r="BV833" s="4"/>
      <c r="BW833" s="4"/>
      <c r="BX833" s="4"/>
      <c r="BY833" s="4"/>
      <c r="BZ833" s="4"/>
      <c r="CA833" s="4"/>
      <c r="CB833" s="4"/>
      <c r="CC833" s="4"/>
      <c r="CD833" s="4"/>
      <c r="CE833" s="4"/>
      <c r="CF833" s="4"/>
    </row>
    <row r="834" spans="1:84" x14ac:dyDescent="0.3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c r="BB834" s="4"/>
      <c r="BC834" s="4"/>
      <c r="BD834" s="4"/>
      <c r="BE834" s="4"/>
      <c r="BF834" s="4"/>
      <c r="BG834" s="4"/>
      <c r="BH834" s="4"/>
      <c r="BI834" s="4"/>
      <c r="BJ834" s="4"/>
      <c r="BK834" s="4"/>
      <c r="BL834" s="4"/>
      <c r="BS834" s="4"/>
      <c r="BT834" s="4"/>
      <c r="BU834" s="4"/>
      <c r="BV834" s="4"/>
      <c r="BW834" s="4"/>
      <c r="BX834" s="4"/>
      <c r="BY834" s="4"/>
      <c r="BZ834" s="4"/>
      <c r="CA834" s="4"/>
      <c r="CB834" s="4"/>
      <c r="CC834" s="4"/>
      <c r="CD834" s="4"/>
      <c r="CE834" s="4"/>
      <c r="CF834" s="4"/>
    </row>
    <row r="835" spans="1:84" x14ac:dyDescent="0.3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c r="BB835" s="4"/>
      <c r="BC835" s="4"/>
      <c r="BD835" s="4"/>
      <c r="BE835" s="4"/>
      <c r="BF835" s="4"/>
      <c r="BG835" s="4"/>
      <c r="BH835" s="4"/>
      <c r="BI835" s="4"/>
      <c r="BJ835" s="4"/>
      <c r="BK835" s="4"/>
      <c r="BL835" s="4"/>
      <c r="BS835" s="4"/>
      <c r="BT835" s="4"/>
      <c r="BU835" s="4"/>
      <c r="BV835" s="4"/>
      <c r="BW835" s="4"/>
      <c r="BX835" s="4"/>
      <c r="BY835" s="4"/>
      <c r="BZ835" s="4"/>
      <c r="CA835" s="4"/>
      <c r="CB835" s="4"/>
      <c r="CC835" s="4"/>
      <c r="CD835" s="4"/>
      <c r="CE835" s="4"/>
      <c r="CF835" s="4"/>
    </row>
    <row r="836" spans="1:84" x14ac:dyDescent="0.3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c r="BB836" s="4"/>
      <c r="BC836" s="4"/>
      <c r="BD836" s="4"/>
      <c r="BE836" s="4"/>
      <c r="BF836" s="4"/>
      <c r="BG836" s="4"/>
      <c r="BH836" s="4"/>
      <c r="BI836" s="4"/>
      <c r="BJ836" s="4"/>
      <c r="BK836" s="4"/>
      <c r="BL836" s="4"/>
      <c r="BS836" s="4"/>
      <c r="BT836" s="4"/>
      <c r="BU836" s="4"/>
      <c r="BV836" s="4"/>
      <c r="BW836" s="4"/>
      <c r="BX836" s="4"/>
      <c r="BY836" s="4"/>
      <c r="BZ836" s="4"/>
      <c r="CA836" s="4"/>
      <c r="CB836" s="4"/>
      <c r="CC836" s="4"/>
      <c r="CD836" s="4"/>
      <c r="CE836" s="4"/>
      <c r="CF836" s="4"/>
    </row>
    <row r="837" spans="1:84" x14ac:dyDescent="0.3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c r="BB837" s="4"/>
      <c r="BC837" s="4"/>
      <c r="BD837" s="4"/>
      <c r="BE837" s="4"/>
      <c r="BF837" s="4"/>
      <c r="BG837" s="4"/>
      <c r="BH837" s="4"/>
      <c r="BI837" s="4"/>
      <c r="BJ837" s="4"/>
      <c r="BK837" s="4"/>
      <c r="BL837" s="4"/>
      <c r="BS837" s="4"/>
      <c r="BT837" s="4"/>
      <c r="BU837" s="4"/>
      <c r="BV837" s="4"/>
      <c r="BW837" s="4"/>
      <c r="BX837" s="4"/>
      <c r="BY837" s="4"/>
      <c r="BZ837" s="4"/>
      <c r="CA837" s="4"/>
      <c r="CB837" s="4"/>
      <c r="CC837" s="4"/>
      <c r="CD837" s="4"/>
      <c r="CE837" s="4"/>
      <c r="CF837" s="4"/>
    </row>
    <row r="838" spans="1:84" x14ac:dyDescent="0.3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c r="BB838" s="4"/>
      <c r="BC838" s="4"/>
      <c r="BD838" s="4"/>
      <c r="BE838" s="4"/>
      <c r="BF838" s="4"/>
      <c r="BG838" s="4"/>
      <c r="BH838" s="4"/>
      <c r="BI838" s="4"/>
      <c r="BJ838" s="4"/>
      <c r="BK838" s="4"/>
      <c r="BL838" s="4"/>
      <c r="BS838" s="4"/>
      <c r="BT838" s="4"/>
      <c r="BU838" s="4"/>
      <c r="BV838" s="4"/>
      <c r="BW838" s="4"/>
      <c r="BX838" s="4"/>
      <c r="BY838" s="4"/>
      <c r="BZ838" s="4"/>
      <c r="CA838" s="4"/>
      <c r="CB838" s="4"/>
      <c r="CC838" s="4"/>
      <c r="CD838" s="4"/>
      <c r="CE838" s="4"/>
      <c r="CF838" s="4"/>
    </row>
    <row r="839" spans="1:84" x14ac:dyDescent="0.3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c r="BB839" s="4"/>
      <c r="BC839" s="4"/>
      <c r="BD839" s="4"/>
      <c r="BE839" s="4"/>
      <c r="BF839" s="4"/>
      <c r="BG839" s="4"/>
      <c r="BH839" s="4"/>
      <c r="BI839" s="4"/>
      <c r="BJ839" s="4"/>
      <c r="BK839" s="4"/>
      <c r="BL839" s="4"/>
      <c r="BS839" s="4"/>
      <c r="BT839" s="4"/>
      <c r="BU839" s="4"/>
      <c r="BV839" s="4"/>
      <c r="BW839" s="4"/>
      <c r="BX839" s="4"/>
      <c r="BY839" s="4"/>
      <c r="BZ839" s="4"/>
      <c r="CA839" s="4"/>
      <c r="CB839" s="4"/>
      <c r="CC839" s="4"/>
      <c r="CD839" s="4"/>
      <c r="CE839" s="4"/>
      <c r="CF839" s="4"/>
    </row>
    <row r="840" spans="1:84" x14ac:dyDescent="0.3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c r="BB840" s="4"/>
      <c r="BC840" s="4"/>
      <c r="BD840" s="4"/>
      <c r="BE840" s="4"/>
      <c r="BF840" s="4"/>
      <c r="BG840" s="4"/>
      <c r="BH840" s="4"/>
      <c r="BI840" s="4"/>
      <c r="BJ840" s="4"/>
      <c r="BK840" s="4"/>
      <c r="BL840" s="4"/>
      <c r="BS840" s="4"/>
      <c r="BT840" s="4"/>
      <c r="BU840" s="4"/>
      <c r="BV840" s="4"/>
      <c r="BW840" s="4"/>
      <c r="BX840" s="4"/>
      <c r="BY840" s="4"/>
      <c r="BZ840" s="4"/>
      <c r="CA840" s="4"/>
      <c r="CB840" s="4"/>
      <c r="CC840" s="4"/>
      <c r="CD840" s="4"/>
      <c r="CE840" s="4"/>
      <c r="CF840" s="4"/>
    </row>
    <row r="841" spans="1:84" x14ac:dyDescent="0.3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c r="BB841" s="4"/>
      <c r="BC841" s="4"/>
      <c r="BD841" s="4"/>
      <c r="BE841" s="4"/>
      <c r="BF841" s="4"/>
      <c r="BG841" s="4"/>
      <c r="BH841" s="4"/>
      <c r="BI841" s="4"/>
      <c r="BJ841" s="4"/>
      <c r="BK841" s="4"/>
      <c r="BL841" s="4"/>
      <c r="BS841" s="4"/>
      <c r="BT841" s="4"/>
      <c r="BU841" s="4"/>
      <c r="BV841" s="4"/>
      <c r="BW841" s="4"/>
      <c r="BX841" s="4"/>
      <c r="BY841" s="4"/>
      <c r="BZ841" s="4"/>
      <c r="CA841" s="4"/>
      <c r="CB841" s="4"/>
      <c r="CC841" s="4"/>
      <c r="CD841" s="4"/>
      <c r="CE841" s="4"/>
      <c r="CF841" s="4"/>
    </row>
    <row r="842" spans="1:84" x14ac:dyDescent="0.3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c r="BB842" s="4"/>
      <c r="BC842" s="4"/>
      <c r="BD842" s="4"/>
      <c r="BE842" s="4"/>
      <c r="BF842" s="4"/>
      <c r="BG842" s="4"/>
      <c r="BH842" s="4"/>
      <c r="BI842" s="4"/>
      <c r="BJ842" s="4"/>
      <c r="BK842" s="4"/>
      <c r="BL842" s="4"/>
      <c r="BS842" s="4"/>
      <c r="BT842" s="4"/>
      <c r="BU842" s="4"/>
      <c r="BV842" s="4"/>
      <c r="BW842" s="4"/>
      <c r="BX842" s="4"/>
      <c r="BY842" s="4"/>
      <c r="BZ842" s="4"/>
      <c r="CA842" s="4"/>
      <c r="CB842" s="4"/>
      <c r="CC842" s="4"/>
      <c r="CD842" s="4"/>
      <c r="CE842" s="4"/>
      <c r="CF842" s="4"/>
    </row>
    <row r="843" spans="1:84" x14ac:dyDescent="0.3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c r="BB843" s="4"/>
      <c r="BC843" s="4"/>
      <c r="BD843" s="4"/>
      <c r="BE843" s="4"/>
      <c r="BF843" s="4"/>
      <c r="BG843" s="4"/>
      <c r="BH843" s="4"/>
      <c r="BI843" s="4"/>
      <c r="BJ843" s="4"/>
      <c r="BK843" s="4"/>
      <c r="BL843" s="4"/>
      <c r="BS843" s="4"/>
      <c r="BT843" s="4"/>
      <c r="BU843" s="4"/>
      <c r="BV843" s="4"/>
      <c r="BW843" s="4"/>
      <c r="BX843" s="4"/>
      <c r="BY843" s="4"/>
      <c r="BZ843" s="4"/>
      <c r="CA843" s="4"/>
      <c r="CB843" s="4"/>
      <c r="CC843" s="4"/>
      <c r="CD843" s="4"/>
      <c r="CE843" s="4"/>
      <c r="CF843" s="4"/>
    </row>
    <row r="844" spans="1:84" x14ac:dyDescent="0.3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c r="BB844" s="4"/>
      <c r="BC844" s="4"/>
      <c r="BD844" s="4"/>
      <c r="BE844" s="4"/>
      <c r="BF844" s="4"/>
      <c r="BG844" s="4"/>
      <c r="BH844" s="4"/>
      <c r="BI844" s="4"/>
      <c r="BJ844" s="4"/>
      <c r="BK844" s="4"/>
      <c r="BL844" s="4"/>
      <c r="BS844" s="4"/>
      <c r="BT844" s="4"/>
      <c r="BU844" s="4"/>
      <c r="BV844" s="4"/>
      <c r="BW844" s="4"/>
      <c r="BX844" s="4"/>
      <c r="BY844" s="4"/>
      <c r="BZ844" s="4"/>
      <c r="CA844" s="4"/>
      <c r="CB844" s="4"/>
      <c r="CC844" s="4"/>
      <c r="CD844" s="4"/>
      <c r="CE844" s="4"/>
      <c r="CF844" s="4"/>
    </row>
    <row r="845" spans="1:84" x14ac:dyDescent="0.3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c r="BB845" s="4"/>
      <c r="BC845" s="4"/>
      <c r="BD845" s="4"/>
      <c r="BE845" s="4"/>
      <c r="BF845" s="4"/>
      <c r="BG845" s="4"/>
      <c r="BH845" s="4"/>
      <c r="BI845" s="4"/>
      <c r="BJ845" s="4"/>
      <c r="BK845" s="4"/>
      <c r="BL845" s="4"/>
      <c r="BS845" s="4"/>
      <c r="BT845" s="4"/>
      <c r="BU845" s="4"/>
      <c r="BV845" s="4"/>
      <c r="BW845" s="4"/>
      <c r="BX845" s="4"/>
      <c r="BY845" s="4"/>
      <c r="BZ845" s="4"/>
      <c r="CA845" s="4"/>
      <c r="CB845" s="4"/>
      <c r="CC845" s="4"/>
      <c r="CD845" s="4"/>
      <c r="CE845" s="4"/>
      <c r="CF845" s="4"/>
    </row>
    <row r="846" spans="1:84" x14ac:dyDescent="0.3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c r="BB846" s="4"/>
      <c r="BC846" s="4"/>
      <c r="BD846" s="4"/>
      <c r="BE846" s="4"/>
      <c r="BF846" s="4"/>
      <c r="BG846" s="4"/>
      <c r="BH846" s="4"/>
      <c r="BI846" s="4"/>
      <c r="BJ846" s="4"/>
      <c r="BK846" s="4"/>
      <c r="BL846" s="4"/>
      <c r="BS846" s="4"/>
      <c r="BT846" s="4"/>
      <c r="BU846" s="4"/>
      <c r="BV846" s="4"/>
      <c r="BW846" s="4"/>
      <c r="BX846" s="4"/>
      <c r="BY846" s="4"/>
      <c r="BZ846" s="4"/>
      <c r="CA846" s="4"/>
      <c r="CB846" s="4"/>
      <c r="CC846" s="4"/>
      <c r="CD846" s="4"/>
      <c r="CE846" s="4"/>
      <c r="CF846" s="4"/>
    </row>
    <row r="847" spans="1:84" x14ac:dyDescent="0.3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c r="BB847" s="4"/>
      <c r="BC847" s="4"/>
      <c r="BD847" s="4"/>
      <c r="BE847" s="4"/>
      <c r="BF847" s="4"/>
      <c r="BG847" s="4"/>
      <c r="BH847" s="4"/>
      <c r="BI847" s="4"/>
      <c r="BJ847" s="4"/>
      <c r="BK847" s="4"/>
      <c r="BL847" s="4"/>
      <c r="BS847" s="4"/>
      <c r="BT847" s="4"/>
      <c r="BU847" s="4"/>
      <c r="BV847" s="4"/>
      <c r="BW847" s="4"/>
      <c r="BX847" s="4"/>
      <c r="BY847" s="4"/>
      <c r="BZ847" s="4"/>
      <c r="CA847" s="4"/>
      <c r="CB847" s="4"/>
      <c r="CC847" s="4"/>
      <c r="CD847" s="4"/>
      <c r="CE847" s="4"/>
      <c r="CF847" s="4"/>
    </row>
    <row r="848" spans="1:84" x14ac:dyDescent="0.3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c r="BB848" s="4"/>
      <c r="BC848" s="4"/>
      <c r="BD848" s="4"/>
      <c r="BE848" s="4"/>
      <c r="BF848" s="4"/>
      <c r="BG848" s="4"/>
      <c r="BH848" s="4"/>
      <c r="BI848" s="4"/>
      <c r="BJ848" s="4"/>
      <c r="BK848" s="4"/>
      <c r="BL848" s="4"/>
      <c r="BS848" s="4"/>
      <c r="BT848" s="4"/>
      <c r="BU848" s="4"/>
      <c r="BV848" s="4"/>
      <c r="BW848" s="4"/>
      <c r="BX848" s="4"/>
      <c r="BY848" s="4"/>
      <c r="BZ848" s="4"/>
      <c r="CA848" s="4"/>
      <c r="CB848" s="4"/>
      <c r="CC848" s="4"/>
      <c r="CD848" s="4"/>
      <c r="CE848" s="4"/>
      <c r="CF848" s="4"/>
    </row>
    <row r="849" spans="1:84" x14ac:dyDescent="0.3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c r="BB849" s="4"/>
      <c r="BC849" s="4"/>
      <c r="BD849" s="4"/>
      <c r="BE849" s="4"/>
      <c r="BF849" s="4"/>
      <c r="BG849" s="4"/>
      <c r="BH849" s="4"/>
      <c r="BI849" s="4"/>
      <c r="BJ849" s="4"/>
      <c r="BK849" s="4"/>
      <c r="BL849" s="4"/>
      <c r="BS849" s="4"/>
      <c r="BT849" s="4"/>
      <c r="BU849" s="4"/>
      <c r="BV849" s="4"/>
      <c r="BW849" s="4"/>
      <c r="BX849" s="4"/>
      <c r="BY849" s="4"/>
      <c r="BZ849" s="4"/>
      <c r="CA849" s="4"/>
      <c r="CB849" s="4"/>
      <c r="CC849" s="4"/>
      <c r="CD849" s="4"/>
      <c r="CE849" s="4"/>
      <c r="CF849" s="4"/>
    </row>
    <row r="850" spans="1:84" x14ac:dyDescent="0.3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c r="BB850" s="4"/>
      <c r="BC850" s="4"/>
      <c r="BD850" s="4"/>
      <c r="BE850" s="4"/>
      <c r="BF850" s="4"/>
      <c r="BG850" s="4"/>
      <c r="BH850" s="4"/>
      <c r="BI850" s="4"/>
      <c r="BJ850" s="4"/>
      <c r="BK850" s="4"/>
      <c r="BL850" s="4"/>
      <c r="BS850" s="4"/>
      <c r="BT850" s="4"/>
      <c r="BU850" s="4"/>
      <c r="BV850" s="4"/>
      <c r="BW850" s="4"/>
      <c r="BX850" s="4"/>
      <c r="BY850" s="4"/>
      <c r="BZ850" s="4"/>
      <c r="CA850" s="4"/>
      <c r="CB850" s="4"/>
      <c r="CC850" s="4"/>
      <c r="CD850" s="4"/>
      <c r="CE850" s="4"/>
      <c r="CF850" s="4"/>
    </row>
    <row r="851" spans="1:84" x14ac:dyDescent="0.3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c r="BB851" s="4"/>
      <c r="BC851" s="4"/>
      <c r="BD851" s="4"/>
      <c r="BE851" s="4"/>
      <c r="BF851" s="4"/>
      <c r="BG851" s="4"/>
      <c r="BH851" s="4"/>
      <c r="BI851" s="4"/>
      <c r="BJ851" s="4"/>
      <c r="BK851" s="4"/>
      <c r="BL851" s="4"/>
      <c r="BS851" s="4"/>
      <c r="BT851" s="4"/>
      <c r="BU851" s="4"/>
      <c r="BV851" s="4"/>
      <c r="BW851" s="4"/>
      <c r="BX851" s="4"/>
      <c r="BY851" s="4"/>
      <c r="BZ851" s="4"/>
      <c r="CA851" s="4"/>
      <c r="CB851" s="4"/>
      <c r="CC851" s="4"/>
      <c r="CD851" s="4"/>
      <c r="CE851" s="4"/>
      <c r="CF851" s="4"/>
    </row>
    <row r="852" spans="1:84" x14ac:dyDescent="0.3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c r="BB852" s="4"/>
      <c r="BC852" s="4"/>
      <c r="BD852" s="4"/>
      <c r="BE852" s="4"/>
      <c r="BF852" s="4"/>
      <c r="BG852" s="4"/>
      <c r="BH852" s="4"/>
      <c r="BI852" s="4"/>
      <c r="BJ852" s="4"/>
      <c r="BK852" s="4"/>
      <c r="BL852" s="4"/>
      <c r="BS852" s="4"/>
      <c r="BT852" s="4"/>
      <c r="BU852" s="4"/>
      <c r="BV852" s="4"/>
      <c r="BW852" s="4"/>
      <c r="BX852" s="4"/>
      <c r="BY852" s="4"/>
      <c r="BZ852" s="4"/>
      <c r="CA852" s="4"/>
      <c r="CB852" s="4"/>
      <c r="CC852" s="4"/>
      <c r="CD852" s="4"/>
      <c r="CE852" s="4"/>
      <c r="CF852" s="4"/>
    </row>
    <row r="853" spans="1:84" x14ac:dyDescent="0.3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c r="BB853" s="4"/>
      <c r="BC853" s="4"/>
      <c r="BD853" s="4"/>
      <c r="BE853" s="4"/>
      <c r="BF853" s="4"/>
      <c r="BG853" s="4"/>
      <c r="BH853" s="4"/>
      <c r="BI853" s="4"/>
      <c r="BJ853" s="4"/>
      <c r="BK853" s="4"/>
      <c r="BL853" s="4"/>
      <c r="BS853" s="4"/>
      <c r="BT853" s="4"/>
      <c r="BU853" s="4"/>
      <c r="BV853" s="4"/>
      <c r="BW853" s="4"/>
      <c r="BX853" s="4"/>
      <c r="BY853" s="4"/>
      <c r="BZ853" s="4"/>
      <c r="CA853" s="4"/>
      <c r="CB853" s="4"/>
      <c r="CC853" s="4"/>
      <c r="CD853" s="4"/>
      <c r="CE853" s="4"/>
      <c r="CF853" s="4"/>
    </row>
    <row r="854" spans="1:84" x14ac:dyDescent="0.3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c r="BB854" s="4"/>
      <c r="BC854" s="4"/>
      <c r="BD854" s="4"/>
      <c r="BE854" s="4"/>
      <c r="BF854" s="4"/>
      <c r="BG854" s="4"/>
      <c r="BH854" s="4"/>
      <c r="BI854" s="4"/>
      <c r="BJ854" s="4"/>
      <c r="BK854" s="4"/>
      <c r="BL854" s="4"/>
      <c r="BS854" s="4"/>
      <c r="BT854" s="4"/>
      <c r="BU854" s="4"/>
      <c r="BV854" s="4"/>
      <c r="BW854" s="4"/>
      <c r="BX854" s="4"/>
      <c r="BY854" s="4"/>
      <c r="BZ854" s="4"/>
      <c r="CA854" s="4"/>
      <c r="CB854" s="4"/>
      <c r="CC854" s="4"/>
      <c r="CD854" s="4"/>
      <c r="CE854" s="4"/>
      <c r="CF854" s="4"/>
    </row>
    <row r="855" spans="1:84" x14ac:dyDescent="0.3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c r="BB855" s="4"/>
      <c r="BC855" s="4"/>
      <c r="BD855" s="4"/>
      <c r="BE855" s="4"/>
      <c r="BF855" s="4"/>
      <c r="BG855" s="4"/>
      <c r="BH855" s="4"/>
      <c r="BI855" s="4"/>
      <c r="BJ855" s="4"/>
      <c r="BK855" s="4"/>
      <c r="BL855" s="4"/>
      <c r="BS855" s="4"/>
      <c r="BT855" s="4"/>
      <c r="BU855" s="4"/>
      <c r="BV855" s="4"/>
      <c r="BW855" s="4"/>
      <c r="BX855" s="4"/>
      <c r="BY855" s="4"/>
      <c r="BZ855" s="4"/>
      <c r="CA855" s="4"/>
      <c r="CB855" s="4"/>
      <c r="CC855" s="4"/>
      <c r="CD855" s="4"/>
      <c r="CE855" s="4"/>
      <c r="CF855" s="4"/>
    </row>
    <row r="856" spans="1:84" x14ac:dyDescent="0.3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c r="BB856" s="4"/>
      <c r="BC856" s="4"/>
      <c r="BD856" s="4"/>
      <c r="BE856" s="4"/>
      <c r="BF856" s="4"/>
      <c r="BG856" s="4"/>
      <c r="BH856" s="4"/>
      <c r="BI856" s="4"/>
      <c r="BJ856" s="4"/>
      <c r="BK856" s="4"/>
      <c r="BL856" s="4"/>
      <c r="BS856" s="4"/>
      <c r="BT856" s="4"/>
      <c r="BU856" s="4"/>
      <c r="BV856" s="4"/>
      <c r="BW856" s="4"/>
      <c r="BX856" s="4"/>
      <c r="BY856" s="4"/>
      <c r="BZ856" s="4"/>
      <c r="CA856" s="4"/>
      <c r="CB856" s="4"/>
      <c r="CC856" s="4"/>
      <c r="CD856" s="4"/>
      <c r="CE856" s="4"/>
      <c r="CF856" s="4"/>
    </row>
    <row r="857" spans="1:84" x14ac:dyDescent="0.3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c r="BB857" s="4"/>
      <c r="BC857" s="4"/>
      <c r="BD857" s="4"/>
      <c r="BE857" s="4"/>
      <c r="BF857" s="4"/>
      <c r="BG857" s="4"/>
      <c r="BH857" s="4"/>
      <c r="BI857" s="4"/>
      <c r="BJ857" s="4"/>
      <c r="BK857" s="4"/>
      <c r="BL857" s="4"/>
      <c r="BS857" s="4"/>
      <c r="BT857" s="4"/>
      <c r="BU857" s="4"/>
      <c r="BV857" s="4"/>
      <c r="BW857" s="4"/>
      <c r="BX857" s="4"/>
      <c r="BY857" s="4"/>
      <c r="BZ857" s="4"/>
      <c r="CA857" s="4"/>
      <c r="CB857" s="4"/>
      <c r="CC857" s="4"/>
      <c r="CD857" s="4"/>
      <c r="CE857" s="4"/>
      <c r="CF857" s="4"/>
    </row>
    <row r="858" spans="1:84" x14ac:dyDescent="0.3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c r="BB858" s="4"/>
      <c r="BC858" s="4"/>
      <c r="BD858" s="4"/>
      <c r="BE858" s="4"/>
      <c r="BF858" s="4"/>
      <c r="BG858" s="4"/>
      <c r="BH858" s="4"/>
      <c r="BI858" s="4"/>
      <c r="BJ858" s="4"/>
      <c r="BK858" s="4"/>
      <c r="BL858" s="4"/>
      <c r="BS858" s="4"/>
      <c r="BT858" s="4"/>
      <c r="BU858" s="4"/>
      <c r="BV858" s="4"/>
      <c r="BW858" s="4"/>
      <c r="BX858" s="4"/>
      <c r="BY858" s="4"/>
      <c r="BZ858" s="4"/>
      <c r="CA858" s="4"/>
      <c r="CB858" s="4"/>
      <c r="CC858" s="4"/>
      <c r="CD858" s="4"/>
      <c r="CE858" s="4"/>
      <c r="CF858" s="4"/>
    </row>
    <row r="859" spans="1:84" x14ac:dyDescent="0.3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c r="BB859" s="4"/>
      <c r="BC859" s="4"/>
      <c r="BD859" s="4"/>
      <c r="BE859" s="4"/>
      <c r="BF859" s="4"/>
      <c r="BG859" s="4"/>
      <c r="BH859" s="4"/>
      <c r="BI859" s="4"/>
      <c r="BJ859" s="4"/>
      <c r="BK859" s="4"/>
      <c r="BL859" s="4"/>
      <c r="BS859" s="4"/>
      <c r="BT859" s="4"/>
      <c r="BU859" s="4"/>
      <c r="BV859" s="4"/>
      <c r="BW859" s="4"/>
      <c r="BX859" s="4"/>
      <c r="BY859" s="4"/>
      <c r="BZ859" s="4"/>
      <c r="CA859" s="4"/>
      <c r="CB859" s="4"/>
      <c r="CC859" s="4"/>
      <c r="CD859" s="4"/>
      <c r="CE859" s="4"/>
      <c r="CF859" s="4"/>
    </row>
    <row r="860" spans="1:84" x14ac:dyDescent="0.3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c r="BB860" s="4"/>
      <c r="BC860" s="4"/>
      <c r="BD860" s="4"/>
      <c r="BE860" s="4"/>
      <c r="BF860" s="4"/>
      <c r="BG860" s="4"/>
      <c r="BH860" s="4"/>
      <c r="BI860" s="4"/>
      <c r="BJ860" s="4"/>
      <c r="BK860" s="4"/>
      <c r="BL860" s="4"/>
      <c r="BS860" s="4"/>
      <c r="BT860" s="4"/>
      <c r="BU860" s="4"/>
      <c r="BV860" s="4"/>
      <c r="BW860" s="4"/>
      <c r="BX860" s="4"/>
      <c r="BY860" s="4"/>
      <c r="BZ860" s="4"/>
      <c r="CA860" s="4"/>
      <c r="CB860" s="4"/>
      <c r="CC860" s="4"/>
      <c r="CD860" s="4"/>
      <c r="CE860" s="4"/>
      <c r="CF860" s="4"/>
    </row>
    <row r="861" spans="1:84" x14ac:dyDescent="0.3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c r="BB861" s="4"/>
      <c r="BC861" s="4"/>
      <c r="BD861" s="4"/>
      <c r="BE861" s="4"/>
      <c r="BF861" s="4"/>
      <c r="BG861" s="4"/>
      <c r="BH861" s="4"/>
      <c r="BI861" s="4"/>
      <c r="BJ861" s="4"/>
      <c r="BK861" s="4"/>
      <c r="BL861" s="4"/>
      <c r="BS861" s="4"/>
      <c r="BT861" s="4"/>
      <c r="BU861" s="4"/>
      <c r="BV861" s="4"/>
      <c r="BW861" s="4"/>
      <c r="BX861" s="4"/>
      <c r="BY861" s="4"/>
      <c r="BZ861" s="4"/>
      <c r="CA861" s="4"/>
      <c r="CB861" s="4"/>
      <c r="CC861" s="4"/>
      <c r="CD861" s="4"/>
      <c r="CE861" s="4"/>
      <c r="CF861" s="4"/>
    </row>
    <row r="862" spans="1:84" x14ac:dyDescent="0.3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c r="BB862" s="4"/>
      <c r="BC862" s="4"/>
      <c r="BD862" s="4"/>
      <c r="BE862" s="4"/>
      <c r="BF862" s="4"/>
      <c r="BG862" s="4"/>
      <c r="BH862" s="4"/>
      <c r="BI862" s="4"/>
      <c r="BJ862" s="4"/>
      <c r="BK862" s="4"/>
      <c r="BL862" s="4"/>
      <c r="BS862" s="4"/>
      <c r="BT862" s="4"/>
      <c r="BU862" s="4"/>
      <c r="BV862" s="4"/>
      <c r="BW862" s="4"/>
      <c r="BX862" s="4"/>
      <c r="BY862" s="4"/>
      <c r="BZ862" s="4"/>
      <c r="CA862" s="4"/>
      <c r="CB862" s="4"/>
      <c r="CC862" s="4"/>
      <c r="CD862" s="4"/>
      <c r="CE862" s="4"/>
      <c r="CF862" s="4"/>
    </row>
    <row r="863" spans="1:84" x14ac:dyDescent="0.3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c r="BB863" s="4"/>
      <c r="BC863" s="4"/>
      <c r="BD863" s="4"/>
      <c r="BE863" s="4"/>
      <c r="BF863" s="4"/>
      <c r="BG863" s="4"/>
      <c r="BH863" s="4"/>
      <c r="BI863" s="4"/>
      <c r="BJ863" s="4"/>
      <c r="BK863" s="4"/>
      <c r="BL863" s="4"/>
      <c r="BS863" s="4"/>
      <c r="BT863" s="4"/>
      <c r="BU863" s="4"/>
      <c r="BV863" s="4"/>
      <c r="BW863" s="4"/>
      <c r="BX863" s="4"/>
      <c r="BY863" s="4"/>
      <c r="BZ863" s="4"/>
      <c r="CA863" s="4"/>
      <c r="CB863" s="4"/>
      <c r="CC863" s="4"/>
      <c r="CD863" s="4"/>
      <c r="CE863" s="4"/>
      <c r="CF863" s="4"/>
    </row>
    <row r="864" spans="1:84" x14ac:dyDescent="0.3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c r="BB864" s="4"/>
      <c r="BC864" s="4"/>
      <c r="BD864" s="4"/>
      <c r="BE864" s="4"/>
      <c r="BF864" s="4"/>
      <c r="BG864" s="4"/>
      <c r="BH864" s="4"/>
      <c r="BI864" s="4"/>
      <c r="BJ864" s="4"/>
      <c r="BK864" s="4"/>
      <c r="BL864" s="4"/>
      <c r="BS864" s="4"/>
      <c r="BT864" s="4"/>
      <c r="BU864" s="4"/>
      <c r="BV864" s="4"/>
      <c r="BW864" s="4"/>
      <c r="BX864" s="4"/>
      <c r="BY864" s="4"/>
      <c r="BZ864" s="4"/>
      <c r="CA864" s="4"/>
      <c r="CB864" s="4"/>
      <c r="CC864" s="4"/>
      <c r="CD864" s="4"/>
      <c r="CE864" s="4"/>
      <c r="CF864" s="4"/>
    </row>
    <row r="865" spans="1:84" x14ac:dyDescent="0.3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c r="BB865" s="4"/>
      <c r="BC865" s="4"/>
      <c r="BD865" s="4"/>
      <c r="BE865" s="4"/>
      <c r="BF865" s="4"/>
      <c r="BG865" s="4"/>
      <c r="BH865" s="4"/>
      <c r="BI865" s="4"/>
      <c r="BJ865" s="4"/>
      <c r="BK865" s="4"/>
      <c r="BL865" s="4"/>
      <c r="BS865" s="4"/>
      <c r="BT865" s="4"/>
      <c r="BU865" s="4"/>
      <c r="BV865" s="4"/>
      <c r="BW865" s="4"/>
      <c r="BX865" s="4"/>
      <c r="BY865" s="4"/>
      <c r="BZ865" s="4"/>
      <c r="CA865" s="4"/>
      <c r="CB865" s="4"/>
      <c r="CC865" s="4"/>
      <c r="CD865" s="4"/>
      <c r="CE865" s="4"/>
      <c r="CF865" s="4"/>
    </row>
    <row r="866" spans="1:84" x14ac:dyDescent="0.3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c r="BB866" s="4"/>
      <c r="BC866" s="4"/>
      <c r="BD866" s="4"/>
      <c r="BE866" s="4"/>
      <c r="BF866" s="4"/>
      <c r="BG866" s="4"/>
      <c r="BH866" s="4"/>
      <c r="BI866" s="4"/>
      <c r="BJ866" s="4"/>
      <c r="BK866" s="4"/>
      <c r="BL866" s="4"/>
      <c r="BS866" s="4"/>
      <c r="BT866" s="4"/>
      <c r="BU866" s="4"/>
      <c r="BV866" s="4"/>
      <c r="BW866" s="4"/>
      <c r="BX866" s="4"/>
      <c r="BY866" s="4"/>
      <c r="BZ866" s="4"/>
      <c r="CA866" s="4"/>
      <c r="CB866" s="4"/>
      <c r="CC866" s="4"/>
      <c r="CD866" s="4"/>
      <c r="CE866" s="4"/>
      <c r="CF866" s="4"/>
    </row>
    <row r="867" spans="1:84" x14ac:dyDescent="0.3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c r="BB867" s="4"/>
      <c r="BC867" s="4"/>
      <c r="BD867" s="4"/>
      <c r="BE867" s="4"/>
      <c r="BF867" s="4"/>
      <c r="BG867" s="4"/>
      <c r="BH867" s="4"/>
      <c r="BI867" s="4"/>
      <c r="BJ867" s="4"/>
      <c r="BK867" s="4"/>
      <c r="BL867" s="4"/>
      <c r="BS867" s="4"/>
      <c r="BT867" s="4"/>
      <c r="BU867" s="4"/>
      <c r="BV867" s="4"/>
      <c r="BW867" s="4"/>
      <c r="BX867" s="4"/>
      <c r="BY867" s="4"/>
      <c r="BZ867" s="4"/>
      <c r="CA867" s="4"/>
      <c r="CB867" s="4"/>
      <c r="CC867" s="4"/>
      <c r="CD867" s="4"/>
      <c r="CE867" s="4"/>
      <c r="CF867" s="4"/>
    </row>
    <row r="868" spans="1:84" x14ac:dyDescent="0.3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c r="BB868" s="4"/>
      <c r="BC868" s="4"/>
      <c r="BD868" s="4"/>
      <c r="BE868" s="4"/>
      <c r="BF868" s="4"/>
      <c r="BG868" s="4"/>
      <c r="BH868" s="4"/>
      <c r="BI868" s="4"/>
      <c r="BJ868" s="4"/>
      <c r="BK868" s="4"/>
      <c r="BL868" s="4"/>
      <c r="BS868" s="4"/>
      <c r="BT868" s="4"/>
      <c r="BU868" s="4"/>
      <c r="BV868" s="4"/>
      <c r="BW868" s="4"/>
      <c r="BX868" s="4"/>
      <c r="BY868" s="4"/>
      <c r="BZ868" s="4"/>
      <c r="CA868" s="4"/>
      <c r="CB868" s="4"/>
      <c r="CC868" s="4"/>
      <c r="CD868" s="4"/>
      <c r="CE868" s="4"/>
      <c r="CF868" s="4"/>
    </row>
    <row r="869" spans="1:84" x14ac:dyDescent="0.3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c r="BB869" s="4"/>
      <c r="BC869" s="4"/>
      <c r="BD869" s="4"/>
      <c r="BE869" s="4"/>
      <c r="BF869" s="4"/>
      <c r="BG869" s="4"/>
      <c r="BH869" s="4"/>
      <c r="BI869" s="4"/>
      <c r="BJ869" s="4"/>
      <c r="BK869" s="4"/>
      <c r="BL869" s="4"/>
      <c r="BS869" s="4"/>
      <c r="BT869" s="4"/>
      <c r="BU869" s="4"/>
      <c r="BV869" s="4"/>
      <c r="BW869" s="4"/>
      <c r="BX869" s="4"/>
      <c r="BY869" s="4"/>
      <c r="BZ869" s="4"/>
      <c r="CA869" s="4"/>
      <c r="CB869" s="4"/>
      <c r="CC869" s="4"/>
      <c r="CD869" s="4"/>
      <c r="CE869" s="4"/>
      <c r="CF869" s="4"/>
    </row>
    <row r="870" spans="1:84" x14ac:dyDescent="0.3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c r="BB870" s="4"/>
      <c r="BC870" s="4"/>
      <c r="BD870" s="4"/>
      <c r="BE870" s="4"/>
      <c r="BF870" s="4"/>
      <c r="BG870" s="4"/>
      <c r="BH870" s="4"/>
      <c r="BI870" s="4"/>
      <c r="BJ870" s="4"/>
      <c r="BK870" s="4"/>
      <c r="BL870" s="4"/>
      <c r="BS870" s="4"/>
      <c r="BT870" s="4"/>
      <c r="BU870" s="4"/>
      <c r="BV870" s="4"/>
      <c r="BW870" s="4"/>
      <c r="BX870" s="4"/>
      <c r="BY870" s="4"/>
      <c r="BZ870" s="4"/>
      <c r="CA870" s="4"/>
      <c r="CB870" s="4"/>
      <c r="CC870" s="4"/>
      <c r="CD870" s="4"/>
      <c r="CE870" s="4"/>
      <c r="CF870" s="4"/>
    </row>
    <row r="871" spans="1:84" x14ac:dyDescent="0.3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c r="BB871" s="4"/>
      <c r="BC871" s="4"/>
      <c r="BD871" s="4"/>
      <c r="BE871" s="4"/>
      <c r="BF871" s="4"/>
      <c r="BG871" s="4"/>
      <c r="BH871" s="4"/>
      <c r="BI871" s="4"/>
      <c r="BJ871" s="4"/>
      <c r="BK871" s="4"/>
      <c r="BL871" s="4"/>
      <c r="BS871" s="4"/>
      <c r="BT871" s="4"/>
      <c r="BU871" s="4"/>
      <c r="BV871" s="4"/>
      <c r="BW871" s="4"/>
      <c r="BX871" s="4"/>
      <c r="BY871" s="4"/>
      <c r="BZ871" s="4"/>
      <c r="CA871" s="4"/>
      <c r="CB871" s="4"/>
      <c r="CC871" s="4"/>
      <c r="CD871" s="4"/>
      <c r="CE871" s="4"/>
      <c r="CF871" s="4"/>
    </row>
    <row r="872" spans="1:84" x14ac:dyDescent="0.3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c r="BB872" s="4"/>
      <c r="BC872" s="4"/>
      <c r="BD872" s="4"/>
      <c r="BE872" s="4"/>
      <c r="BF872" s="4"/>
      <c r="BG872" s="4"/>
      <c r="BH872" s="4"/>
      <c r="BI872" s="4"/>
      <c r="BJ872" s="4"/>
      <c r="BK872" s="4"/>
      <c r="BL872" s="4"/>
      <c r="BS872" s="4"/>
      <c r="BT872" s="4"/>
      <c r="BU872" s="4"/>
      <c r="BV872" s="4"/>
      <c r="BW872" s="4"/>
      <c r="BX872" s="4"/>
      <c r="BY872" s="4"/>
      <c r="BZ872" s="4"/>
      <c r="CA872" s="4"/>
      <c r="CB872" s="4"/>
      <c r="CC872" s="4"/>
      <c r="CD872" s="4"/>
      <c r="CE872" s="4"/>
      <c r="CF872" s="4"/>
    </row>
    <row r="873" spans="1:84" x14ac:dyDescent="0.3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c r="BB873" s="4"/>
      <c r="BC873" s="4"/>
      <c r="BD873" s="4"/>
      <c r="BE873" s="4"/>
      <c r="BF873" s="4"/>
      <c r="BG873" s="4"/>
      <c r="BH873" s="4"/>
      <c r="BI873" s="4"/>
      <c r="BJ873" s="4"/>
      <c r="BK873" s="4"/>
      <c r="BL873" s="4"/>
      <c r="BS873" s="4"/>
      <c r="BT873" s="4"/>
      <c r="BU873" s="4"/>
      <c r="BV873" s="4"/>
      <c r="BW873" s="4"/>
      <c r="BX873" s="4"/>
      <c r="BY873" s="4"/>
      <c r="BZ873" s="4"/>
      <c r="CA873" s="4"/>
      <c r="CB873" s="4"/>
      <c r="CC873" s="4"/>
      <c r="CD873" s="4"/>
      <c r="CE873" s="4"/>
      <c r="CF873" s="4"/>
    </row>
    <row r="874" spans="1:84" x14ac:dyDescent="0.3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c r="BB874" s="4"/>
      <c r="BC874" s="4"/>
      <c r="BD874" s="4"/>
      <c r="BE874" s="4"/>
      <c r="BF874" s="4"/>
      <c r="BG874" s="4"/>
      <c r="BH874" s="4"/>
      <c r="BI874" s="4"/>
      <c r="BJ874" s="4"/>
      <c r="BK874" s="4"/>
      <c r="BL874" s="4"/>
      <c r="BS874" s="4"/>
      <c r="BT874" s="4"/>
      <c r="BU874" s="4"/>
      <c r="BV874" s="4"/>
      <c r="BW874" s="4"/>
      <c r="BX874" s="4"/>
      <c r="BY874" s="4"/>
      <c r="BZ874" s="4"/>
      <c r="CA874" s="4"/>
      <c r="CB874" s="4"/>
      <c r="CC874" s="4"/>
      <c r="CD874" s="4"/>
      <c r="CE874" s="4"/>
      <c r="CF874" s="4"/>
    </row>
    <row r="875" spans="1:84" x14ac:dyDescent="0.3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c r="BB875" s="4"/>
      <c r="BC875" s="4"/>
      <c r="BD875" s="4"/>
      <c r="BE875" s="4"/>
      <c r="BF875" s="4"/>
      <c r="BG875" s="4"/>
      <c r="BH875" s="4"/>
      <c r="BI875" s="4"/>
      <c r="BJ875" s="4"/>
      <c r="BK875" s="4"/>
      <c r="BL875" s="4"/>
      <c r="BS875" s="4"/>
      <c r="BT875" s="4"/>
      <c r="BU875" s="4"/>
      <c r="BV875" s="4"/>
      <c r="BW875" s="4"/>
      <c r="BX875" s="4"/>
      <c r="BY875" s="4"/>
      <c r="BZ875" s="4"/>
      <c r="CA875" s="4"/>
      <c r="CB875" s="4"/>
      <c r="CC875" s="4"/>
      <c r="CD875" s="4"/>
      <c r="CE875" s="4"/>
      <c r="CF875" s="4"/>
    </row>
    <row r="876" spans="1:84" x14ac:dyDescent="0.3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c r="BB876" s="4"/>
      <c r="BC876" s="4"/>
      <c r="BD876" s="4"/>
      <c r="BE876" s="4"/>
      <c r="BF876" s="4"/>
      <c r="BG876" s="4"/>
      <c r="BH876" s="4"/>
      <c r="BI876" s="4"/>
      <c r="BJ876" s="4"/>
      <c r="BK876" s="4"/>
      <c r="BL876" s="4"/>
      <c r="BS876" s="4"/>
      <c r="BT876" s="4"/>
      <c r="BU876" s="4"/>
      <c r="BV876" s="4"/>
      <c r="BW876" s="4"/>
      <c r="BX876" s="4"/>
      <c r="BY876" s="4"/>
      <c r="BZ876" s="4"/>
      <c r="CA876" s="4"/>
      <c r="CB876" s="4"/>
      <c r="CC876" s="4"/>
      <c r="CD876" s="4"/>
      <c r="CE876" s="4"/>
      <c r="CF876" s="4"/>
    </row>
    <row r="877" spans="1:84" x14ac:dyDescent="0.3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c r="BB877" s="4"/>
      <c r="BC877" s="4"/>
      <c r="BD877" s="4"/>
      <c r="BE877" s="4"/>
      <c r="BF877" s="4"/>
      <c r="BG877" s="4"/>
      <c r="BH877" s="4"/>
      <c r="BI877" s="4"/>
      <c r="BJ877" s="4"/>
      <c r="BK877" s="4"/>
      <c r="BL877" s="4"/>
      <c r="BS877" s="4"/>
      <c r="BT877" s="4"/>
      <c r="BU877" s="4"/>
      <c r="BV877" s="4"/>
      <c r="BW877" s="4"/>
      <c r="BX877" s="4"/>
      <c r="BY877" s="4"/>
      <c r="BZ877" s="4"/>
      <c r="CA877" s="4"/>
      <c r="CB877" s="4"/>
      <c r="CC877" s="4"/>
      <c r="CD877" s="4"/>
      <c r="CE877" s="4"/>
      <c r="CF877" s="4"/>
    </row>
    <row r="878" spans="1:84" x14ac:dyDescent="0.3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c r="BB878" s="4"/>
      <c r="BC878" s="4"/>
      <c r="BD878" s="4"/>
      <c r="BE878" s="4"/>
      <c r="BF878" s="4"/>
      <c r="BG878" s="4"/>
      <c r="BH878" s="4"/>
      <c r="BI878" s="4"/>
      <c r="BJ878" s="4"/>
      <c r="BK878" s="4"/>
      <c r="BL878" s="4"/>
      <c r="BS878" s="4"/>
      <c r="BT878" s="4"/>
      <c r="BU878" s="4"/>
      <c r="BV878" s="4"/>
      <c r="BW878" s="4"/>
      <c r="BX878" s="4"/>
      <c r="BY878" s="4"/>
      <c r="BZ878" s="4"/>
      <c r="CA878" s="4"/>
      <c r="CB878" s="4"/>
      <c r="CC878" s="4"/>
      <c r="CD878" s="4"/>
      <c r="CE878" s="4"/>
      <c r="CF878" s="4"/>
    </row>
    <row r="879" spans="1:84" x14ac:dyDescent="0.3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c r="BB879" s="4"/>
      <c r="BC879" s="4"/>
      <c r="BD879" s="4"/>
      <c r="BE879" s="4"/>
      <c r="BF879" s="4"/>
      <c r="BG879" s="4"/>
      <c r="BH879" s="4"/>
      <c r="BI879" s="4"/>
      <c r="BJ879" s="4"/>
      <c r="BK879" s="4"/>
      <c r="BL879" s="4"/>
      <c r="BS879" s="4"/>
      <c r="BT879" s="4"/>
      <c r="BU879" s="4"/>
      <c r="BV879" s="4"/>
      <c r="BW879" s="4"/>
      <c r="BX879" s="4"/>
      <c r="BY879" s="4"/>
      <c r="BZ879" s="4"/>
      <c r="CA879" s="4"/>
      <c r="CB879" s="4"/>
      <c r="CC879" s="4"/>
      <c r="CD879" s="4"/>
      <c r="CE879" s="4"/>
      <c r="CF879" s="4"/>
    </row>
    <row r="880" spans="1:84" x14ac:dyDescent="0.3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c r="BB880" s="4"/>
      <c r="BC880" s="4"/>
      <c r="BD880" s="4"/>
      <c r="BE880" s="4"/>
      <c r="BF880" s="4"/>
      <c r="BG880" s="4"/>
      <c r="BH880" s="4"/>
      <c r="BI880" s="4"/>
      <c r="BJ880" s="4"/>
      <c r="BK880" s="4"/>
      <c r="BL880" s="4"/>
      <c r="BS880" s="4"/>
      <c r="BT880" s="4"/>
      <c r="BU880" s="4"/>
      <c r="BV880" s="4"/>
      <c r="BW880" s="4"/>
      <c r="BX880" s="4"/>
      <c r="BY880" s="4"/>
      <c r="BZ880" s="4"/>
      <c r="CA880" s="4"/>
      <c r="CB880" s="4"/>
      <c r="CC880" s="4"/>
      <c r="CD880" s="4"/>
      <c r="CE880" s="4"/>
      <c r="CF880" s="4"/>
    </row>
    <row r="881" spans="1:84" x14ac:dyDescent="0.3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c r="BB881" s="4"/>
      <c r="BC881" s="4"/>
      <c r="BD881" s="4"/>
      <c r="BE881" s="4"/>
      <c r="BF881" s="4"/>
      <c r="BG881" s="4"/>
      <c r="BH881" s="4"/>
      <c r="BI881" s="4"/>
      <c r="BJ881" s="4"/>
      <c r="BK881" s="4"/>
      <c r="BL881" s="4"/>
      <c r="BS881" s="4"/>
      <c r="BT881" s="4"/>
      <c r="BU881" s="4"/>
      <c r="BV881" s="4"/>
      <c r="BW881" s="4"/>
      <c r="BX881" s="4"/>
      <c r="BY881" s="4"/>
      <c r="BZ881" s="4"/>
      <c r="CA881" s="4"/>
      <c r="CB881" s="4"/>
      <c r="CC881" s="4"/>
      <c r="CD881" s="4"/>
      <c r="CE881" s="4"/>
      <c r="CF881" s="4"/>
    </row>
    <row r="882" spans="1:84" x14ac:dyDescent="0.3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c r="BB882" s="4"/>
      <c r="BC882" s="4"/>
      <c r="BD882" s="4"/>
      <c r="BE882" s="4"/>
      <c r="BF882" s="4"/>
      <c r="BG882" s="4"/>
      <c r="BH882" s="4"/>
      <c r="BI882" s="4"/>
      <c r="BJ882" s="4"/>
      <c r="BK882" s="4"/>
      <c r="BL882" s="4"/>
      <c r="BS882" s="4"/>
      <c r="BT882" s="4"/>
      <c r="BU882" s="4"/>
      <c r="BV882" s="4"/>
      <c r="BW882" s="4"/>
      <c r="BX882" s="4"/>
      <c r="BY882" s="4"/>
      <c r="BZ882" s="4"/>
      <c r="CA882" s="4"/>
      <c r="CB882" s="4"/>
      <c r="CC882" s="4"/>
      <c r="CD882" s="4"/>
      <c r="CE882" s="4"/>
      <c r="CF882" s="4"/>
    </row>
    <row r="883" spans="1:84" x14ac:dyDescent="0.3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c r="BB883" s="4"/>
      <c r="BC883" s="4"/>
      <c r="BD883" s="4"/>
      <c r="BE883" s="4"/>
      <c r="BF883" s="4"/>
      <c r="BG883" s="4"/>
      <c r="BH883" s="4"/>
      <c r="BI883" s="4"/>
      <c r="BJ883" s="4"/>
      <c r="BK883" s="4"/>
      <c r="BL883" s="4"/>
      <c r="BS883" s="4"/>
      <c r="BT883" s="4"/>
      <c r="BU883" s="4"/>
      <c r="BV883" s="4"/>
      <c r="BW883" s="4"/>
      <c r="BX883" s="4"/>
      <c r="BY883" s="4"/>
      <c r="BZ883" s="4"/>
      <c r="CA883" s="4"/>
      <c r="CB883" s="4"/>
      <c r="CC883" s="4"/>
      <c r="CD883" s="4"/>
      <c r="CE883" s="4"/>
      <c r="CF883" s="4"/>
    </row>
    <row r="884" spans="1:84" x14ac:dyDescent="0.3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c r="BB884" s="4"/>
      <c r="BC884" s="4"/>
      <c r="BD884" s="4"/>
      <c r="BE884" s="4"/>
      <c r="BF884" s="4"/>
      <c r="BG884" s="4"/>
      <c r="BH884" s="4"/>
      <c r="BI884" s="4"/>
      <c r="BJ884" s="4"/>
      <c r="BK884" s="4"/>
      <c r="BL884" s="4"/>
      <c r="BS884" s="4"/>
      <c r="BT884" s="4"/>
      <c r="BU884" s="4"/>
      <c r="BV884" s="4"/>
      <c r="BW884" s="4"/>
      <c r="BX884" s="4"/>
      <c r="BY884" s="4"/>
      <c r="BZ884" s="4"/>
      <c r="CA884" s="4"/>
      <c r="CB884" s="4"/>
      <c r="CC884" s="4"/>
      <c r="CD884" s="4"/>
      <c r="CE884" s="4"/>
      <c r="CF884" s="4"/>
    </row>
    <row r="885" spans="1:84" x14ac:dyDescent="0.3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c r="BB885" s="4"/>
      <c r="BC885" s="4"/>
      <c r="BD885" s="4"/>
      <c r="BE885" s="4"/>
      <c r="BF885" s="4"/>
      <c r="BG885" s="4"/>
      <c r="BH885" s="4"/>
      <c r="BI885" s="4"/>
      <c r="BJ885" s="4"/>
      <c r="BK885" s="4"/>
      <c r="BL885" s="4"/>
      <c r="BS885" s="4"/>
      <c r="BT885" s="4"/>
      <c r="BU885" s="4"/>
      <c r="BV885" s="4"/>
      <c r="BW885" s="4"/>
      <c r="BX885" s="4"/>
      <c r="BY885" s="4"/>
      <c r="BZ885" s="4"/>
      <c r="CA885" s="4"/>
      <c r="CB885" s="4"/>
      <c r="CC885" s="4"/>
      <c r="CD885" s="4"/>
      <c r="CE885" s="4"/>
      <c r="CF885" s="4"/>
    </row>
    <row r="886" spans="1:84" x14ac:dyDescent="0.3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c r="BB886" s="4"/>
      <c r="BC886" s="4"/>
      <c r="BD886" s="4"/>
      <c r="BE886" s="4"/>
      <c r="BF886" s="4"/>
      <c r="BG886" s="4"/>
      <c r="BH886" s="4"/>
      <c r="BI886" s="4"/>
      <c r="BJ886" s="4"/>
      <c r="BK886" s="4"/>
      <c r="BL886" s="4"/>
      <c r="BS886" s="4"/>
      <c r="BT886" s="4"/>
      <c r="BU886" s="4"/>
      <c r="BV886" s="4"/>
      <c r="BW886" s="4"/>
      <c r="BX886" s="4"/>
      <c r="BY886" s="4"/>
      <c r="BZ886" s="4"/>
      <c r="CA886" s="4"/>
      <c r="CB886" s="4"/>
      <c r="CC886" s="4"/>
      <c r="CD886" s="4"/>
      <c r="CE886" s="4"/>
      <c r="CF886" s="4"/>
    </row>
    <row r="887" spans="1:84" x14ac:dyDescent="0.3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c r="BB887" s="4"/>
      <c r="BC887" s="4"/>
      <c r="BD887" s="4"/>
      <c r="BE887" s="4"/>
      <c r="BF887" s="4"/>
      <c r="BG887" s="4"/>
      <c r="BH887" s="4"/>
      <c r="BI887" s="4"/>
      <c r="BJ887" s="4"/>
      <c r="BK887" s="4"/>
      <c r="BL887" s="4"/>
      <c r="BS887" s="4"/>
      <c r="BT887" s="4"/>
      <c r="BU887" s="4"/>
      <c r="BV887" s="4"/>
      <c r="BW887" s="4"/>
      <c r="BX887" s="4"/>
      <c r="BY887" s="4"/>
      <c r="BZ887" s="4"/>
      <c r="CA887" s="4"/>
      <c r="CB887" s="4"/>
      <c r="CC887" s="4"/>
      <c r="CD887" s="4"/>
      <c r="CE887" s="4"/>
      <c r="CF887" s="4"/>
    </row>
    <row r="888" spans="1:84" x14ac:dyDescent="0.3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c r="BB888" s="4"/>
      <c r="BC888" s="4"/>
      <c r="BD888" s="4"/>
      <c r="BE888" s="4"/>
      <c r="BF888" s="4"/>
      <c r="BG888" s="4"/>
      <c r="BH888" s="4"/>
      <c r="BI888" s="4"/>
      <c r="BJ888" s="4"/>
      <c r="BK888" s="4"/>
      <c r="BL888" s="4"/>
      <c r="BS888" s="4"/>
      <c r="BT888" s="4"/>
      <c r="BU888" s="4"/>
      <c r="BV888" s="4"/>
      <c r="BW888" s="4"/>
      <c r="BX888" s="4"/>
      <c r="BY888" s="4"/>
      <c r="BZ888" s="4"/>
      <c r="CA888" s="4"/>
      <c r="CB888" s="4"/>
      <c r="CC888" s="4"/>
      <c r="CD888" s="4"/>
      <c r="CE888" s="4"/>
      <c r="CF888" s="4"/>
    </row>
    <row r="889" spans="1:84" x14ac:dyDescent="0.3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c r="BB889" s="4"/>
      <c r="BC889" s="4"/>
      <c r="BD889" s="4"/>
      <c r="BE889" s="4"/>
      <c r="BF889" s="4"/>
      <c r="BG889" s="4"/>
      <c r="BH889" s="4"/>
      <c r="BI889" s="4"/>
      <c r="BJ889" s="4"/>
      <c r="BK889" s="4"/>
      <c r="BL889" s="4"/>
      <c r="BS889" s="4"/>
      <c r="BT889" s="4"/>
      <c r="BU889" s="4"/>
      <c r="BV889" s="4"/>
      <c r="BW889" s="4"/>
      <c r="BX889" s="4"/>
      <c r="BY889" s="4"/>
      <c r="BZ889" s="4"/>
      <c r="CA889" s="4"/>
      <c r="CB889" s="4"/>
      <c r="CC889" s="4"/>
      <c r="CD889" s="4"/>
      <c r="CE889" s="4"/>
      <c r="CF889" s="4"/>
    </row>
    <row r="890" spans="1:84" x14ac:dyDescent="0.3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c r="BB890" s="4"/>
      <c r="BC890" s="4"/>
      <c r="BD890" s="4"/>
      <c r="BE890" s="4"/>
      <c r="BF890" s="4"/>
      <c r="BG890" s="4"/>
      <c r="BH890" s="4"/>
      <c r="BI890" s="4"/>
      <c r="BJ890" s="4"/>
      <c r="BK890" s="4"/>
      <c r="BL890" s="4"/>
      <c r="BS890" s="4"/>
      <c r="BT890" s="4"/>
      <c r="BU890" s="4"/>
      <c r="BV890" s="4"/>
      <c r="BW890" s="4"/>
      <c r="BX890" s="4"/>
      <c r="BY890" s="4"/>
      <c r="BZ890" s="4"/>
      <c r="CA890" s="4"/>
      <c r="CB890" s="4"/>
      <c r="CC890" s="4"/>
      <c r="CD890" s="4"/>
      <c r="CE890" s="4"/>
      <c r="CF890" s="4"/>
    </row>
    <row r="891" spans="1:84" x14ac:dyDescent="0.3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c r="BB891" s="4"/>
      <c r="BC891" s="4"/>
      <c r="BD891" s="4"/>
      <c r="BE891" s="4"/>
      <c r="BF891" s="4"/>
      <c r="BG891" s="4"/>
      <c r="BH891" s="4"/>
      <c r="BI891" s="4"/>
      <c r="BJ891" s="4"/>
      <c r="BK891" s="4"/>
      <c r="BL891" s="4"/>
      <c r="BS891" s="4"/>
      <c r="BT891" s="4"/>
      <c r="BU891" s="4"/>
      <c r="BV891" s="4"/>
      <c r="BW891" s="4"/>
      <c r="BX891" s="4"/>
      <c r="BY891" s="4"/>
      <c r="BZ891" s="4"/>
      <c r="CA891" s="4"/>
      <c r="CB891" s="4"/>
      <c r="CC891" s="4"/>
      <c r="CD891" s="4"/>
      <c r="CE891" s="4"/>
      <c r="CF891" s="4"/>
    </row>
    <row r="892" spans="1:84" x14ac:dyDescent="0.3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c r="BB892" s="4"/>
      <c r="BC892" s="4"/>
      <c r="BD892" s="4"/>
      <c r="BE892" s="4"/>
      <c r="BF892" s="4"/>
      <c r="BG892" s="4"/>
      <c r="BH892" s="4"/>
      <c r="BI892" s="4"/>
      <c r="BJ892" s="4"/>
      <c r="BK892" s="4"/>
      <c r="BL892" s="4"/>
      <c r="BS892" s="4"/>
      <c r="BT892" s="4"/>
      <c r="BU892" s="4"/>
      <c r="BV892" s="4"/>
      <c r="BW892" s="4"/>
      <c r="BX892" s="4"/>
      <c r="BY892" s="4"/>
      <c r="BZ892" s="4"/>
      <c r="CA892" s="4"/>
      <c r="CB892" s="4"/>
      <c r="CC892" s="4"/>
      <c r="CD892" s="4"/>
      <c r="CE892" s="4"/>
      <c r="CF892" s="4"/>
    </row>
    <row r="893" spans="1:84" x14ac:dyDescent="0.3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c r="BB893" s="4"/>
      <c r="BC893" s="4"/>
      <c r="BD893" s="4"/>
      <c r="BE893" s="4"/>
      <c r="BF893" s="4"/>
      <c r="BG893" s="4"/>
      <c r="BH893" s="4"/>
      <c r="BI893" s="4"/>
      <c r="BJ893" s="4"/>
      <c r="BK893" s="4"/>
      <c r="BL893" s="4"/>
      <c r="BS893" s="4"/>
      <c r="BT893" s="4"/>
      <c r="BU893" s="4"/>
      <c r="BV893" s="4"/>
      <c r="BW893" s="4"/>
      <c r="BX893" s="4"/>
      <c r="BY893" s="4"/>
      <c r="BZ893" s="4"/>
      <c r="CA893" s="4"/>
      <c r="CB893" s="4"/>
      <c r="CC893" s="4"/>
      <c r="CD893" s="4"/>
      <c r="CE893" s="4"/>
      <c r="CF893" s="4"/>
    </row>
    <row r="894" spans="1:84" x14ac:dyDescent="0.3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c r="BB894" s="4"/>
      <c r="BC894" s="4"/>
      <c r="BD894" s="4"/>
      <c r="BE894" s="4"/>
      <c r="BF894" s="4"/>
      <c r="BG894" s="4"/>
      <c r="BH894" s="4"/>
      <c r="BI894" s="4"/>
      <c r="BJ894" s="4"/>
      <c r="BK894" s="4"/>
      <c r="BL894" s="4"/>
      <c r="BS894" s="4"/>
      <c r="BT894" s="4"/>
      <c r="BU894" s="4"/>
      <c r="BV894" s="4"/>
      <c r="BW894" s="4"/>
      <c r="BX894" s="4"/>
      <c r="BY894" s="4"/>
      <c r="BZ894" s="4"/>
      <c r="CA894" s="4"/>
      <c r="CB894" s="4"/>
      <c r="CC894" s="4"/>
      <c r="CD894" s="4"/>
      <c r="CE894" s="4"/>
      <c r="CF894" s="4"/>
    </row>
    <row r="895" spans="1:84" x14ac:dyDescent="0.3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c r="BB895" s="4"/>
      <c r="BC895" s="4"/>
      <c r="BD895" s="4"/>
      <c r="BE895" s="4"/>
      <c r="BF895" s="4"/>
      <c r="BG895" s="4"/>
      <c r="BH895" s="4"/>
      <c r="BI895" s="4"/>
      <c r="BJ895" s="4"/>
      <c r="BK895" s="4"/>
      <c r="BL895" s="4"/>
      <c r="BS895" s="4"/>
      <c r="BT895" s="4"/>
      <c r="BU895" s="4"/>
      <c r="BV895" s="4"/>
      <c r="BW895" s="4"/>
      <c r="BX895" s="4"/>
      <c r="BY895" s="4"/>
      <c r="BZ895" s="4"/>
      <c r="CA895" s="4"/>
      <c r="CB895" s="4"/>
      <c r="CC895" s="4"/>
      <c r="CD895" s="4"/>
      <c r="CE895" s="4"/>
      <c r="CF895" s="4"/>
    </row>
    <row r="896" spans="1:84" x14ac:dyDescent="0.3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c r="BB896" s="4"/>
      <c r="BC896" s="4"/>
      <c r="BD896" s="4"/>
      <c r="BE896" s="4"/>
      <c r="BF896" s="4"/>
      <c r="BG896" s="4"/>
      <c r="BH896" s="4"/>
      <c r="BI896" s="4"/>
      <c r="BJ896" s="4"/>
      <c r="BK896" s="4"/>
      <c r="BL896" s="4"/>
      <c r="BS896" s="4"/>
      <c r="BT896" s="4"/>
      <c r="BU896" s="4"/>
      <c r="BV896" s="4"/>
      <c r="BW896" s="4"/>
      <c r="BX896" s="4"/>
      <c r="BY896" s="4"/>
      <c r="BZ896" s="4"/>
      <c r="CA896" s="4"/>
      <c r="CB896" s="4"/>
      <c r="CC896" s="4"/>
      <c r="CD896" s="4"/>
      <c r="CE896" s="4"/>
      <c r="CF896" s="4"/>
    </row>
    <row r="897" spans="1:84" x14ac:dyDescent="0.3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c r="BB897" s="4"/>
      <c r="BC897" s="4"/>
      <c r="BD897" s="4"/>
      <c r="BE897" s="4"/>
      <c r="BF897" s="4"/>
      <c r="BG897" s="4"/>
      <c r="BH897" s="4"/>
      <c r="BI897" s="4"/>
      <c r="BJ897" s="4"/>
      <c r="BK897" s="4"/>
      <c r="BL897" s="4"/>
      <c r="BS897" s="4"/>
      <c r="BT897" s="4"/>
      <c r="BU897" s="4"/>
      <c r="BV897" s="4"/>
      <c r="BW897" s="4"/>
      <c r="BX897" s="4"/>
      <c r="BY897" s="4"/>
      <c r="BZ897" s="4"/>
      <c r="CA897" s="4"/>
      <c r="CB897" s="4"/>
      <c r="CC897" s="4"/>
      <c r="CD897" s="4"/>
      <c r="CE897" s="4"/>
      <c r="CF897" s="4"/>
    </row>
    <row r="898" spans="1:84" x14ac:dyDescent="0.3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c r="BB898" s="4"/>
      <c r="BC898" s="4"/>
      <c r="BD898" s="4"/>
      <c r="BE898" s="4"/>
      <c r="BF898" s="4"/>
      <c r="BG898" s="4"/>
      <c r="BH898" s="4"/>
      <c r="BI898" s="4"/>
      <c r="BJ898" s="4"/>
      <c r="BK898" s="4"/>
      <c r="BL898" s="4"/>
      <c r="BS898" s="4"/>
      <c r="BT898" s="4"/>
      <c r="BU898" s="4"/>
      <c r="BV898" s="4"/>
      <c r="BW898" s="4"/>
      <c r="BX898" s="4"/>
      <c r="BY898" s="4"/>
      <c r="BZ898" s="4"/>
      <c r="CA898" s="4"/>
      <c r="CB898" s="4"/>
      <c r="CC898" s="4"/>
      <c r="CD898" s="4"/>
      <c r="CE898" s="4"/>
      <c r="CF898" s="4"/>
    </row>
    <row r="899" spans="1:84" x14ac:dyDescent="0.3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c r="BB899" s="4"/>
      <c r="BC899" s="4"/>
      <c r="BD899" s="4"/>
      <c r="BE899" s="4"/>
      <c r="BF899" s="4"/>
      <c r="BG899" s="4"/>
      <c r="BH899" s="4"/>
      <c r="BI899" s="4"/>
      <c r="BJ899" s="4"/>
      <c r="BK899" s="4"/>
      <c r="BL899" s="4"/>
      <c r="BS899" s="4"/>
      <c r="BT899" s="4"/>
      <c r="BU899" s="4"/>
      <c r="BV899" s="4"/>
      <c r="BW899" s="4"/>
      <c r="BX899" s="4"/>
      <c r="BY899" s="4"/>
      <c r="BZ899" s="4"/>
      <c r="CA899" s="4"/>
      <c r="CB899" s="4"/>
      <c r="CC899" s="4"/>
      <c r="CD899" s="4"/>
      <c r="CE899" s="4"/>
      <c r="CF899" s="4"/>
    </row>
    <row r="900" spans="1:84" x14ac:dyDescent="0.3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c r="BB900" s="4"/>
      <c r="BC900" s="4"/>
      <c r="BD900" s="4"/>
      <c r="BE900" s="4"/>
      <c r="BF900" s="4"/>
      <c r="BG900" s="4"/>
      <c r="BH900" s="4"/>
      <c r="BI900" s="4"/>
      <c r="BJ900" s="4"/>
      <c r="BK900" s="4"/>
      <c r="BL900" s="4"/>
      <c r="BS900" s="4"/>
      <c r="BT900" s="4"/>
      <c r="BU900" s="4"/>
      <c r="BV900" s="4"/>
      <c r="BW900" s="4"/>
      <c r="BX900" s="4"/>
      <c r="BY900" s="4"/>
      <c r="BZ900" s="4"/>
      <c r="CA900" s="4"/>
      <c r="CB900" s="4"/>
      <c r="CC900" s="4"/>
      <c r="CD900" s="4"/>
      <c r="CE900" s="4"/>
      <c r="CF900" s="4"/>
    </row>
    <row r="901" spans="1:84" x14ac:dyDescent="0.3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c r="BB901" s="4"/>
      <c r="BC901" s="4"/>
      <c r="BD901" s="4"/>
      <c r="BE901" s="4"/>
      <c r="BF901" s="4"/>
      <c r="BG901" s="4"/>
      <c r="BH901" s="4"/>
      <c r="BI901" s="4"/>
      <c r="BJ901" s="4"/>
      <c r="BK901" s="4"/>
      <c r="BL901" s="4"/>
      <c r="BS901" s="4"/>
      <c r="BT901" s="4"/>
      <c r="BU901" s="4"/>
      <c r="BV901" s="4"/>
      <c r="BW901" s="4"/>
      <c r="BX901" s="4"/>
      <c r="BY901" s="4"/>
      <c r="BZ901" s="4"/>
      <c r="CA901" s="4"/>
      <c r="CB901" s="4"/>
      <c r="CC901" s="4"/>
      <c r="CD901" s="4"/>
      <c r="CE901" s="4"/>
      <c r="CF901" s="4"/>
    </row>
    <row r="902" spans="1:84" x14ac:dyDescent="0.3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c r="BB902" s="4"/>
      <c r="BC902" s="4"/>
      <c r="BD902" s="4"/>
      <c r="BE902" s="4"/>
      <c r="BF902" s="4"/>
      <c r="BG902" s="4"/>
      <c r="BH902" s="4"/>
      <c r="BI902" s="4"/>
      <c r="BJ902" s="4"/>
      <c r="BK902" s="4"/>
      <c r="BL902" s="4"/>
      <c r="BS902" s="4"/>
      <c r="BT902" s="4"/>
      <c r="BU902" s="4"/>
      <c r="BV902" s="4"/>
      <c r="BW902" s="4"/>
      <c r="BX902" s="4"/>
      <c r="BY902" s="4"/>
      <c r="BZ902" s="4"/>
      <c r="CA902" s="4"/>
      <c r="CB902" s="4"/>
      <c r="CC902" s="4"/>
      <c r="CD902" s="4"/>
      <c r="CE902" s="4"/>
      <c r="CF902" s="4"/>
    </row>
    <row r="903" spans="1:84" x14ac:dyDescent="0.3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c r="BB903" s="4"/>
      <c r="BC903" s="4"/>
      <c r="BD903" s="4"/>
      <c r="BE903" s="4"/>
      <c r="BF903" s="4"/>
      <c r="BG903" s="4"/>
      <c r="BH903" s="4"/>
      <c r="BI903" s="4"/>
      <c r="BJ903" s="4"/>
      <c r="BK903" s="4"/>
      <c r="BL903" s="4"/>
      <c r="BS903" s="4"/>
      <c r="BT903" s="4"/>
      <c r="BU903" s="4"/>
      <c r="BV903" s="4"/>
      <c r="BW903" s="4"/>
      <c r="BX903" s="4"/>
      <c r="BY903" s="4"/>
      <c r="BZ903" s="4"/>
      <c r="CA903" s="4"/>
      <c r="CB903" s="4"/>
      <c r="CC903" s="4"/>
      <c r="CD903" s="4"/>
      <c r="CE903" s="4"/>
      <c r="CF903" s="4"/>
    </row>
    <row r="904" spans="1:84" x14ac:dyDescent="0.3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c r="BB904" s="4"/>
      <c r="BC904" s="4"/>
      <c r="BD904" s="4"/>
      <c r="BE904" s="4"/>
      <c r="BF904" s="4"/>
      <c r="BG904" s="4"/>
      <c r="BH904" s="4"/>
      <c r="BI904" s="4"/>
      <c r="BJ904" s="4"/>
      <c r="BK904" s="4"/>
      <c r="BL904" s="4"/>
      <c r="BS904" s="4"/>
      <c r="BT904" s="4"/>
      <c r="BU904" s="4"/>
      <c r="BV904" s="4"/>
      <c r="BW904" s="4"/>
      <c r="BX904" s="4"/>
      <c r="BY904" s="4"/>
      <c r="BZ904" s="4"/>
      <c r="CA904" s="4"/>
      <c r="CB904" s="4"/>
      <c r="CC904" s="4"/>
      <c r="CD904" s="4"/>
      <c r="CE904" s="4"/>
      <c r="CF904" s="4"/>
    </row>
    <row r="905" spans="1:84" x14ac:dyDescent="0.3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c r="BB905" s="4"/>
      <c r="BC905" s="4"/>
      <c r="BD905" s="4"/>
      <c r="BE905" s="4"/>
      <c r="BF905" s="4"/>
      <c r="BG905" s="4"/>
      <c r="BH905" s="4"/>
      <c r="BI905" s="4"/>
      <c r="BJ905" s="4"/>
      <c r="BK905" s="4"/>
      <c r="BL905" s="4"/>
      <c r="BS905" s="4"/>
      <c r="BT905" s="4"/>
      <c r="BU905" s="4"/>
      <c r="BV905" s="4"/>
      <c r="BW905" s="4"/>
      <c r="BX905" s="4"/>
      <c r="BY905" s="4"/>
      <c r="BZ905" s="4"/>
      <c r="CA905" s="4"/>
      <c r="CB905" s="4"/>
      <c r="CC905" s="4"/>
      <c r="CD905" s="4"/>
      <c r="CE905" s="4"/>
      <c r="CF905" s="4"/>
    </row>
    <row r="906" spans="1:84" x14ac:dyDescent="0.3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c r="BB906" s="4"/>
      <c r="BC906" s="4"/>
      <c r="BD906" s="4"/>
      <c r="BE906" s="4"/>
      <c r="BF906" s="4"/>
      <c r="BG906" s="4"/>
      <c r="BH906" s="4"/>
      <c r="BI906" s="4"/>
      <c r="BJ906" s="4"/>
      <c r="BK906" s="4"/>
      <c r="BL906" s="4"/>
      <c r="BS906" s="4"/>
      <c r="BT906" s="4"/>
      <c r="BU906" s="4"/>
      <c r="BV906" s="4"/>
      <c r="BW906" s="4"/>
      <c r="BX906" s="4"/>
      <c r="BY906" s="4"/>
      <c r="BZ906" s="4"/>
      <c r="CA906" s="4"/>
      <c r="CB906" s="4"/>
      <c r="CC906" s="4"/>
      <c r="CD906" s="4"/>
      <c r="CE906" s="4"/>
      <c r="CF906" s="4"/>
    </row>
    <row r="907" spans="1:84" x14ac:dyDescent="0.3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c r="BB907" s="4"/>
      <c r="BC907" s="4"/>
      <c r="BD907" s="4"/>
      <c r="BE907" s="4"/>
      <c r="BF907" s="4"/>
      <c r="BG907" s="4"/>
      <c r="BH907" s="4"/>
      <c r="BI907" s="4"/>
      <c r="BJ907" s="4"/>
      <c r="BK907" s="4"/>
      <c r="BL907" s="4"/>
      <c r="BS907" s="4"/>
      <c r="BT907" s="4"/>
      <c r="BU907" s="4"/>
      <c r="BV907" s="4"/>
      <c r="BW907" s="4"/>
      <c r="BX907" s="4"/>
      <c r="BY907" s="4"/>
      <c r="BZ907" s="4"/>
      <c r="CA907" s="4"/>
      <c r="CB907" s="4"/>
      <c r="CC907" s="4"/>
      <c r="CD907" s="4"/>
      <c r="CE907" s="4"/>
      <c r="CF907" s="4"/>
    </row>
    <row r="908" spans="1:84" x14ac:dyDescent="0.3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c r="BB908" s="4"/>
      <c r="BC908" s="4"/>
      <c r="BD908" s="4"/>
      <c r="BE908" s="4"/>
      <c r="BF908" s="4"/>
      <c r="BG908" s="4"/>
      <c r="BH908" s="4"/>
      <c r="BI908" s="4"/>
      <c r="BJ908" s="4"/>
      <c r="BK908" s="4"/>
      <c r="BL908" s="4"/>
      <c r="BS908" s="4"/>
      <c r="BT908" s="4"/>
      <c r="BU908" s="4"/>
      <c r="BV908" s="4"/>
      <c r="BW908" s="4"/>
      <c r="BX908" s="4"/>
      <c r="BY908" s="4"/>
      <c r="BZ908" s="4"/>
      <c r="CA908" s="4"/>
      <c r="CB908" s="4"/>
      <c r="CC908" s="4"/>
      <c r="CD908" s="4"/>
      <c r="CE908" s="4"/>
      <c r="CF908" s="4"/>
    </row>
    <row r="909" spans="1:84" x14ac:dyDescent="0.3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c r="BB909" s="4"/>
      <c r="BC909" s="4"/>
      <c r="BD909" s="4"/>
      <c r="BE909" s="4"/>
      <c r="BF909" s="4"/>
      <c r="BG909" s="4"/>
      <c r="BH909" s="4"/>
      <c r="BI909" s="4"/>
      <c r="BJ909" s="4"/>
      <c r="BK909" s="4"/>
      <c r="BL909" s="4"/>
      <c r="BS909" s="4"/>
      <c r="BT909" s="4"/>
      <c r="BU909" s="4"/>
      <c r="BV909" s="4"/>
      <c r="BW909" s="4"/>
      <c r="BX909" s="4"/>
      <c r="BY909" s="4"/>
      <c r="BZ909" s="4"/>
      <c r="CA909" s="4"/>
      <c r="CB909" s="4"/>
      <c r="CC909" s="4"/>
      <c r="CD909" s="4"/>
      <c r="CE909" s="4"/>
      <c r="CF909" s="4"/>
    </row>
    <row r="910" spans="1:84" x14ac:dyDescent="0.3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c r="BB910" s="4"/>
      <c r="BC910" s="4"/>
      <c r="BD910" s="4"/>
      <c r="BE910" s="4"/>
      <c r="BF910" s="4"/>
      <c r="BG910" s="4"/>
      <c r="BH910" s="4"/>
      <c r="BI910" s="4"/>
      <c r="BJ910" s="4"/>
      <c r="BK910" s="4"/>
      <c r="BL910" s="4"/>
      <c r="BS910" s="4"/>
      <c r="BT910" s="4"/>
      <c r="BU910" s="4"/>
      <c r="BV910" s="4"/>
      <c r="BW910" s="4"/>
      <c r="BX910" s="4"/>
      <c r="BY910" s="4"/>
      <c r="BZ910" s="4"/>
      <c r="CA910" s="4"/>
      <c r="CB910" s="4"/>
      <c r="CC910" s="4"/>
      <c r="CD910" s="4"/>
      <c r="CE910" s="4"/>
      <c r="CF910" s="4"/>
    </row>
    <row r="911" spans="1:84" x14ac:dyDescent="0.3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c r="BB911" s="4"/>
      <c r="BC911" s="4"/>
      <c r="BD911" s="4"/>
      <c r="BE911" s="4"/>
      <c r="BF911" s="4"/>
      <c r="BG911" s="4"/>
      <c r="BH911" s="4"/>
      <c r="BI911" s="4"/>
      <c r="BJ911" s="4"/>
      <c r="BK911" s="4"/>
      <c r="BL911" s="4"/>
      <c r="BS911" s="4"/>
      <c r="BT911" s="4"/>
      <c r="BU911" s="4"/>
      <c r="BV911" s="4"/>
      <c r="BW911" s="4"/>
      <c r="BX911" s="4"/>
      <c r="BY911" s="4"/>
      <c r="BZ911" s="4"/>
      <c r="CA911" s="4"/>
      <c r="CB911" s="4"/>
      <c r="CC911" s="4"/>
      <c r="CD911" s="4"/>
      <c r="CE911" s="4"/>
      <c r="CF911" s="4"/>
    </row>
    <row r="912" spans="1:84" x14ac:dyDescent="0.3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c r="BB912" s="4"/>
      <c r="BC912" s="4"/>
      <c r="BD912" s="4"/>
      <c r="BE912" s="4"/>
      <c r="BF912" s="4"/>
      <c r="BG912" s="4"/>
      <c r="BH912" s="4"/>
      <c r="BI912" s="4"/>
      <c r="BJ912" s="4"/>
      <c r="BK912" s="4"/>
      <c r="BL912" s="4"/>
      <c r="BS912" s="4"/>
      <c r="BT912" s="4"/>
      <c r="BU912" s="4"/>
      <c r="BV912" s="4"/>
      <c r="BW912" s="4"/>
      <c r="BX912" s="4"/>
      <c r="BY912" s="4"/>
      <c r="BZ912" s="4"/>
      <c r="CA912" s="4"/>
      <c r="CB912" s="4"/>
      <c r="CC912" s="4"/>
      <c r="CD912" s="4"/>
      <c r="CE912" s="4"/>
      <c r="CF912" s="4"/>
    </row>
    <row r="913" spans="1:84" x14ac:dyDescent="0.3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c r="BB913" s="4"/>
      <c r="BC913" s="4"/>
      <c r="BD913" s="4"/>
      <c r="BE913" s="4"/>
      <c r="BF913" s="4"/>
      <c r="BG913" s="4"/>
      <c r="BH913" s="4"/>
      <c r="BI913" s="4"/>
      <c r="BJ913" s="4"/>
      <c r="BK913" s="4"/>
      <c r="BL913" s="4"/>
      <c r="BS913" s="4"/>
      <c r="BT913" s="4"/>
      <c r="BU913" s="4"/>
      <c r="BV913" s="4"/>
      <c r="BW913" s="4"/>
      <c r="BX913" s="4"/>
      <c r="BY913" s="4"/>
      <c r="BZ913" s="4"/>
      <c r="CA913" s="4"/>
      <c r="CB913" s="4"/>
      <c r="CC913" s="4"/>
      <c r="CD913" s="4"/>
      <c r="CE913" s="4"/>
      <c r="CF913" s="4"/>
    </row>
    <row r="914" spans="1:84" x14ac:dyDescent="0.3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c r="BB914" s="4"/>
      <c r="BC914" s="4"/>
      <c r="BD914" s="4"/>
      <c r="BE914" s="4"/>
      <c r="BF914" s="4"/>
      <c r="BG914" s="4"/>
      <c r="BH914" s="4"/>
      <c r="BI914" s="4"/>
      <c r="BJ914" s="4"/>
      <c r="BK914" s="4"/>
      <c r="BL914" s="4"/>
      <c r="BS914" s="4"/>
      <c r="BT914" s="4"/>
      <c r="BU914" s="4"/>
      <c r="BV914" s="4"/>
      <c r="BW914" s="4"/>
      <c r="BX914" s="4"/>
      <c r="BY914" s="4"/>
      <c r="BZ914" s="4"/>
      <c r="CA914" s="4"/>
      <c r="CB914" s="4"/>
      <c r="CC914" s="4"/>
      <c r="CD914" s="4"/>
      <c r="CE914" s="4"/>
      <c r="CF914" s="4"/>
    </row>
    <row r="915" spans="1:84" x14ac:dyDescent="0.3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c r="BB915" s="4"/>
      <c r="BC915" s="4"/>
      <c r="BD915" s="4"/>
      <c r="BE915" s="4"/>
      <c r="BF915" s="4"/>
      <c r="BG915" s="4"/>
      <c r="BH915" s="4"/>
      <c r="BI915" s="4"/>
      <c r="BJ915" s="4"/>
      <c r="BK915" s="4"/>
      <c r="BL915" s="4"/>
      <c r="BS915" s="4"/>
      <c r="BT915" s="4"/>
      <c r="BU915" s="4"/>
      <c r="BV915" s="4"/>
      <c r="BW915" s="4"/>
      <c r="BX915" s="4"/>
      <c r="BY915" s="4"/>
      <c r="BZ915" s="4"/>
      <c r="CA915" s="4"/>
      <c r="CB915" s="4"/>
      <c r="CC915" s="4"/>
      <c r="CD915" s="4"/>
      <c r="CE915" s="4"/>
      <c r="CF915" s="4"/>
    </row>
    <row r="916" spans="1:84" x14ac:dyDescent="0.3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c r="BB916" s="4"/>
      <c r="BC916" s="4"/>
      <c r="BD916" s="4"/>
      <c r="BE916" s="4"/>
      <c r="BF916" s="4"/>
      <c r="BG916" s="4"/>
      <c r="BH916" s="4"/>
      <c r="BI916" s="4"/>
      <c r="BJ916" s="4"/>
      <c r="BK916" s="4"/>
      <c r="BL916" s="4"/>
      <c r="BS916" s="4"/>
      <c r="BT916" s="4"/>
      <c r="BU916" s="4"/>
      <c r="BV916" s="4"/>
      <c r="BW916" s="4"/>
      <c r="BX916" s="4"/>
      <c r="BY916" s="4"/>
      <c r="BZ916" s="4"/>
      <c r="CA916" s="4"/>
      <c r="CB916" s="4"/>
      <c r="CC916" s="4"/>
      <c r="CD916" s="4"/>
      <c r="CE916" s="4"/>
      <c r="CF916" s="4"/>
    </row>
    <row r="917" spans="1:84" x14ac:dyDescent="0.3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c r="BB917" s="4"/>
      <c r="BC917" s="4"/>
      <c r="BD917" s="4"/>
      <c r="BE917" s="4"/>
      <c r="BF917" s="4"/>
      <c r="BG917" s="4"/>
      <c r="BH917" s="4"/>
      <c r="BI917" s="4"/>
      <c r="BJ917" s="4"/>
      <c r="BK917" s="4"/>
      <c r="BL917" s="4"/>
      <c r="BS917" s="4"/>
      <c r="BT917" s="4"/>
      <c r="BU917" s="4"/>
      <c r="BV917" s="4"/>
      <c r="BW917" s="4"/>
      <c r="BX917" s="4"/>
      <c r="BY917" s="4"/>
      <c r="BZ917" s="4"/>
      <c r="CA917" s="4"/>
      <c r="CB917" s="4"/>
      <c r="CC917" s="4"/>
      <c r="CD917" s="4"/>
      <c r="CE917" s="4"/>
      <c r="CF917" s="4"/>
    </row>
    <row r="918" spans="1:84" x14ac:dyDescent="0.3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c r="BB918" s="4"/>
      <c r="BC918" s="4"/>
      <c r="BD918" s="4"/>
      <c r="BE918" s="4"/>
      <c r="BF918" s="4"/>
      <c r="BG918" s="4"/>
      <c r="BH918" s="4"/>
      <c r="BI918" s="4"/>
      <c r="BJ918" s="4"/>
      <c r="BK918" s="4"/>
      <c r="BL918" s="4"/>
      <c r="BS918" s="4"/>
      <c r="BT918" s="4"/>
      <c r="BU918" s="4"/>
      <c r="BV918" s="4"/>
      <c r="BW918" s="4"/>
      <c r="BX918" s="4"/>
      <c r="BY918" s="4"/>
      <c r="BZ918" s="4"/>
      <c r="CA918" s="4"/>
      <c r="CB918" s="4"/>
      <c r="CC918" s="4"/>
      <c r="CD918" s="4"/>
      <c r="CE918" s="4"/>
      <c r="CF918" s="4"/>
    </row>
    <row r="919" spans="1:84" x14ac:dyDescent="0.3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c r="BB919" s="4"/>
      <c r="BC919" s="4"/>
      <c r="BD919" s="4"/>
      <c r="BE919" s="4"/>
      <c r="BF919" s="4"/>
      <c r="BG919" s="4"/>
      <c r="BH919" s="4"/>
      <c r="BI919" s="4"/>
      <c r="BJ919" s="4"/>
      <c r="BK919" s="4"/>
      <c r="BL919" s="4"/>
      <c r="BS919" s="4"/>
      <c r="BT919" s="4"/>
      <c r="BU919" s="4"/>
      <c r="BV919" s="4"/>
      <c r="BW919" s="4"/>
      <c r="BX919" s="4"/>
      <c r="BY919" s="4"/>
      <c r="BZ919" s="4"/>
      <c r="CA919" s="4"/>
      <c r="CB919" s="4"/>
      <c r="CC919" s="4"/>
      <c r="CD919" s="4"/>
      <c r="CE919" s="4"/>
      <c r="CF919" s="4"/>
    </row>
    <row r="920" spans="1:84" x14ac:dyDescent="0.3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c r="BB920" s="4"/>
      <c r="BC920" s="4"/>
      <c r="BD920" s="4"/>
      <c r="BE920" s="4"/>
      <c r="BF920" s="4"/>
      <c r="BG920" s="4"/>
      <c r="BH920" s="4"/>
      <c r="BI920" s="4"/>
      <c r="BJ920" s="4"/>
      <c r="BK920" s="4"/>
      <c r="BL920" s="4"/>
      <c r="BS920" s="4"/>
      <c r="BT920" s="4"/>
      <c r="BU920" s="4"/>
      <c r="BV920" s="4"/>
      <c r="BW920" s="4"/>
      <c r="BX920" s="4"/>
      <c r="BY920" s="4"/>
      <c r="BZ920" s="4"/>
      <c r="CA920" s="4"/>
      <c r="CB920" s="4"/>
      <c r="CC920" s="4"/>
      <c r="CD920" s="4"/>
      <c r="CE920" s="4"/>
      <c r="CF920" s="4"/>
    </row>
    <row r="921" spans="1:84" x14ac:dyDescent="0.3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c r="BB921" s="4"/>
      <c r="BC921" s="4"/>
      <c r="BD921" s="4"/>
      <c r="BE921" s="4"/>
      <c r="BF921" s="4"/>
      <c r="BG921" s="4"/>
      <c r="BH921" s="4"/>
      <c r="BI921" s="4"/>
      <c r="BJ921" s="4"/>
      <c r="BK921" s="4"/>
      <c r="BL921" s="4"/>
      <c r="BS921" s="4"/>
      <c r="BT921" s="4"/>
      <c r="BU921" s="4"/>
      <c r="BV921" s="4"/>
      <c r="BW921" s="4"/>
      <c r="BX921" s="4"/>
      <c r="BY921" s="4"/>
      <c r="BZ921" s="4"/>
      <c r="CA921" s="4"/>
      <c r="CB921" s="4"/>
      <c r="CC921" s="4"/>
      <c r="CD921" s="4"/>
      <c r="CE921" s="4"/>
      <c r="CF921" s="4"/>
    </row>
    <row r="922" spans="1:84" x14ac:dyDescent="0.3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c r="BB922" s="4"/>
      <c r="BC922" s="4"/>
      <c r="BD922" s="4"/>
      <c r="BE922" s="4"/>
      <c r="BF922" s="4"/>
      <c r="BG922" s="4"/>
      <c r="BH922" s="4"/>
      <c r="BI922" s="4"/>
      <c r="BJ922" s="4"/>
      <c r="BK922" s="4"/>
      <c r="BL922" s="4"/>
      <c r="BS922" s="4"/>
      <c r="BT922" s="4"/>
      <c r="BU922" s="4"/>
      <c r="BV922" s="4"/>
      <c r="BW922" s="4"/>
      <c r="BX922" s="4"/>
      <c r="BY922" s="4"/>
      <c r="BZ922" s="4"/>
      <c r="CA922" s="4"/>
      <c r="CB922" s="4"/>
      <c r="CC922" s="4"/>
      <c r="CD922" s="4"/>
      <c r="CE922" s="4"/>
      <c r="CF922" s="4"/>
    </row>
    <row r="923" spans="1:84" x14ac:dyDescent="0.3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c r="BB923" s="4"/>
      <c r="BC923" s="4"/>
      <c r="BD923" s="4"/>
      <c r="BE923" s="4"/>
      <c r="BF923" s="4"/>
      <c r="BG923" s="4"/>
      <c r="BH923" s="4"/>
      <c r="BI923" s="4"/>
      <c r="BJ923" s="4"/>
      <c r="BK923" s="4"/>
      <c r="BL923" s="4"/>
      <c r="BS923" s="4"/>
      <c r="BT923" s="4"/>
      <c r="BU923" s="4"/>
      <c r="BV923" s="4"/>
      <c r="BW923" s="4"/>
      <c r="BX923" s="4"/>
      <c r="BY923" s="4"/>
      <c r="BZ923" s="4"/>
      <c r="CA923" s="4"/>
      <c r="CB923" s="4"/>
      <c r="CC923" s="4"/>
      <c r="CD923" s="4"/>
      <c r="CE923" s="4"/>
      <c r="CF923" s="4"/>
    </row>
    <row r="924" spans="1:84" x14ac:dyDescent="0.3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c r="BB924" s="4"/>
      <c r="BC924" s="4"/>
      <c r="BD924" s="4"/>
      <c r="BE924" s="4"/>
      <c r="BF924" s="4"/>
      <c r="BG924" s="4"/>
      <c r="BH924" s="4"/>
      <c r="BI924" s="4"/>
      <c r="BJ924" s="4"/>
      <c r="BK924" s="4"/>
      <c r="BL924" s="4"/>
      <c r="BS924" s="4"/>
      <c r="BT924" s="4"/>
      <c r="BU924" s="4"/>
      <c r="BV924" s="4"/>
      <c r="BW924" s="4"/>
      <c r="BX924" s="4"/>
      <c r="BY924" s="4"/>
      <c r="BZ924" s="4"/>
      <c r="CA924" s="4"/>
      <c r="CB924" s="4"/>
      <c r="CC924" s="4"/>
      <c r="CD924" s="4"/>
      <c r="CE924" s="4"/>
      <c r="CF924" s="4"/>
    </row>
    <row r="925" spans="1:84" x14ac:dyDescent="0.3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c r="BB925" s="4"/>
      <c r="BC925" s="4"/>
      <c r="BD925" s="4"/>
      <c r="BE925" s="4"/>
      <c r="BF925" s="4"/>
      <c r="BG925" s="4"/>
      <c r="BH925" s="4"/>
      <c r="BI925" s="4"/>
      <c r="BJ925" s="4"/>
      <c r="BK925" s="4"/>
      <c r="BL925" s="4"/>
      <c r="BS925" s="4"/>
      <c r="BT925" s="4"/>
      <c r="BU925" s="4"/>
      <c r="BV925" s="4"/>
      <c r="BW925" s="4"/>
      <c r="BX925" s="4"/>
      <c r="BY925" s="4"/>
      <c r="BZ925" s="4"/>
      <c r="CA925" s="4"/>
      <c r="CB925" s="4"/>
      <c r="CC925" s="4"/>
      <c r="CD925" s="4"/>
      <c r="CE925" s="4"/>
      <c r="CF925" s="4"/>
    </row>
    <row r="926" spans="1:84" x14ac:dyDescent="0.3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c r="BB926" s="4"/>
      <c r="BC926" s="4"/>
      <c r="BD926" s="4"/>
      <c r="BE926" s="4"/>
      <c r="BF926" s="4"/>
      <c r="BG926" s="4"/>
      <c r="BH926" s="4"/>
      <c r="BI926" s="4"/>
      <c r="BJ926" s="4"/>
      <c r="BK926" s="4"/>
      <c r="BL926" s="4"/>
      <c r="BS926" s="4"/>
      <c r="BT926" s="4"/>
      <c r="BU926" s="4"/>
      <c r="BV926" s="4"/>
      <c r="BW926" s="4"/>
      <c r="BX926" s="4"/>
      <c r="BY926" s="4"/>
      <c r="BZ926" s="4"/>
      <c r="CA926" s="4"/>
      <c r="CB926" s="4"/>
      <c r="CC926" s="4"/>
      <c r="CD926" s="4"/>
      <c r="CE926" s="4"/>
      <c r="CF926" s="4"/>
    </row>
    <row r="927" spans="1:84" x14ac:dyDescent="0.3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c r="BB927" s="4"/>
      <c r="BC927" s="4"/>
      <c r="BD927" s="4"/>
      <c r="BE927" s="4"/>
      <c r="BF927" s="4"/>
      <c r="BG927" s="4"/>
      <c r="BH927" s="4"/>
      <c r="BI927" s="4"/>
      <c r="BJ927" s="4"/>
      <c r="BK927" s="4"/>
      <c r="BL927" s="4"/>
      <c r="BS927" s="4"/>
      <c r="BT927" s="4"/>
      <c r="BU927" s="4"/>
      <c r="BV927" s="4"/>
      <c r="BW927" s="4"/>
      <c r="BX927" s="4"/>
      <c r="BY927" s="4"/>
      <c r="BZ927" s="4"/>
      <c r="CA927" s="4"/>
      <c r="CB927" s="4"/>
      <c r="CC927" s="4"/>
      <c r="CD927" s="4"/>
      <c r="CE927" s="4"/>
      <c r="CF927" s="4"/>
    </row>
    <row r="928" spans="1:84" x14ac:dyDescent="0.3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c r="BB928" s="4"/>
      <c r="BC928" s="4"/>
      <c r="BD928" s="4"/>
      <c r="BE928" s="4"/>
      <c r="BF928" s="4"/>
      <c r="BG928" s="4"/>
      <c r="BH928" s="4"/>
      <c r="BI928" s="4"/>
      <c r="BJ928" s="4"/>
      <c r="BK928" s="4"/>
      <c r="BL928" s="4"/>
      <c r="BS928" s="4"/>
      <c r="BT928" s="4"/>
      <c r="BU928" s="4"/>
      <c r="BV928" s="4"/>
      <c r="BW928" s="4"/>
      <c r="BX928" s="4"/>
      <c r="BY928" s="4"/>
      <c r="BZ928" s="4"/>
      <c r="CA928" s="4"/>
      <c r="CB928" s="4"/>
      <c r="CC928" s="4"/>
      <c r="CD928" s="4"/>
      <c r="CE928" s="4"/>
      <c r="CF928" s="4"/>
    </row>
    <row r="929" spans="1:84" x14ac:dyDescent="0.3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c r="BB929" s="4"/>
      <c r="BC929" s="4"/>
      <c r="BD929" s="4"/>
      <c r="BE929" s="4"/>
      <c r="BF929" s="4"/>
      <c r="BG929" s="4"/>
      <c r="BH929" s="4"/>
      <c r="BI929" s="4"/>
      <c r="BJ929" s="4"/>
      <c r="BK929" s="4"/>
      <c r="BL929" s="4"/>
      <c r="BS929" s="4"/>
      <c r="BT929" s="4"/>
      <c r="BU929" s="4"/>
      <c r="BV929" s="4"/>
      <c r="BW929" s="4"/>
      <c r="BX929" s="4"/>
      <c r="BY929" s="4"/>
      <c r="BZ929" s="4"/>
      <c r="CA929" s="4"/>
      <c r="CB929" s="4"/>
      <c r="CC929" s="4"/>
      <c r="CD929" s="4"/>
      <c r="CE929" s="4"/>
      <c r="CF929" s="4"/>
    </row>
    <row r="930" spans="1:84" x14ac:dyDescent="0.3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c r="BB930" s="4"/>
      <c r="BC930" s="4"/>
      <c r="BD930" s="4"/>
      <c r="BE930" s="4"/>
      <c r="BF930" s="4"/>
      <c r="BG930" s="4"/>
      <c r="BH930" s="4"/>
      <c r="BI930" s="4"/>
      <c r="BJ930" s="4"/>
      <c r="BK930" s="4"/>
      <c r="BL930" s="4"/>
      <c r="BS930" s="4"/>
      <c r="BT930" s="4"/>
      <c r="BU930" s="4"/>
      <c r="BV930" s="4"/>
      <c r="BW930" s="4"/>
      <c r="BX930" s="4"/>
      <c r="BY930" s="4"/>
      <c r="BZ930" s="4"/>
      <c r="CA930" s="4"/>
      <c r="CB930" s="4"/>
      <c r="CC930" s="4"/>
      <c r="CD930" s="4"/>
      <c r="CE930" s="4"/>
      <c r="CF930" s="4"/>
    </row>
    <row r="931" spans="1:84" x14ac:dyDescent="0.3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c r="BB931" s="4"/>
      <c r="BC931" s="4"/>
      <c r="BD931" s="4"/>
      <c r="BE931" s="4"/>
      <c r="BF931" s="4"/>
      <c r="BG931" s="4"/>
      <c r="BH931" s="4"/>
      <c r="BI931" s="4"/>
      <c r="BJ931" s="4"/>
      <c r="BK931" s="4"/>
      <c r="BL931" s="4"/>
      <c r="BS931" s="4"/>
      <c r="BT931" s="4"/>
      <c r="BU931" s="4"/>
      <c r="BV931" s="4"/>
      <c r="BW931" s="4"/>
      <c r="BX931" s="4"/>
      <c r="BY931" s="4"/>
      <c r="BZ931" s="4"/>
      <c r="CA931" s="4"/>
      <c r="CB931" s="4"/>
      <c r="CC931" s="4"/>
      <c r="CD931" s="4"/>
      <c r="CE931" s="4"/>
      <c r="CF931" s="4"/>
    </row>
    <row r="932" spans="1:84" x14ac:dyDescent="0.3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c r="BB932" s="4"/>
      <c r="BC932" s="4"/>
      <c r="BD932" s="4"/>
      <c r="BE932" s="4"/>
      <c r="BF932" s="4"/>
      <c r="BG932" s="4"/>
      <c r="BH932" s="4"/>
      <c r="BI932" s="4"/>
      <c r="BJ932" s="4"/>
      <c r="BK932" s="4"/>
      <c r="BL932" s="4"/>
      <c r="BS932" s="4"/>
      <c r="BT932" s="4"/>
      <c r="BU932" s="4"/>
      <c r="BV932" s="4"/>
      <c r="BW932" s="4"/>
      <c r="BX932" s="4"/>
      <c r="BY932" s="4"/>
      <c r="BZ932" s="4"/>
      <c r="CA932" s="4"/>
      <c r="CB932" s="4"/>
      <c r="CC932" s="4"/>
      <c r="CD932" s="4"/>
      <c r="CE932" s="4"/>
      <c r="CF932" s="4"/>
    </row>
    <row r="933" spans="1:84" x14ac:dyDescent="0.3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c r="BB933" s="4"/>
      <c r="BC933" s="4"/>
      <c r="BD933" s="4"/>
      <c r="BE933" s="4"/>
      <c r="BF933" s="4"/>
      <c r="BG933" s="4"/>
      <c r="BH933" s="4"/>
      <c r="BI933" s="4"/>
      <c r="BJ933" s="4"/>
      <c r="BK933" s="4"/>
      <c r="BL933" s="4"/>
      <c r="BS933" s="4"/>
      <c r="BT933" s="4"/>
      <c r="BU933" s="4"/>
      <c r="BV933" s="4"/>
      <c r="BW933" s="4"/>
      <c r="BX933" s="4"/>
      <c r="BY933" s="4"/>
      <c r="BZ933" s="4"/>
      <c r="CA933" s="4"/>
      <c r="CB933" s="4"/>
      <c r="CC933" s="4"/>
      <c r="CD933" s="4"/>
      <c r="CE933" s="4"/>
      <c r="CF933" s="4"/>
    </row>
    <row r="934" spans="1:84" x14ac:dyDescent="0.3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c r="BB934" s="4"/>
      <c r="BC934" s="4"/>
      <c r="BD934" s="4"/>
      <c r="BE934" s="4"/>
      <c r="BF934" s="4"/>
      <c r="BG934" s="4"/>
      <c r="BH934" s="4"/>
      <c r="BI934" s="4"/>
      <c r="BJ934" s="4"/>
      <c r="BK934" s="4"/>
      <c r="BL934" s="4"/>
      <c r="BS934" s="4"/>
      <c r="BT934" s="4"/>
      <c r="BU934" s="4"/>
      <c r="BV934" s="4"/>
      <c r="BW934" s="4"/>
      <c r="BX934" s="4"/>
      <c r="BY934" s="4"/>
      <c r="BZ934" s="4"/>
      <c r="CA934" s="4"/>
      <c r="CB934" s="4"/>
      <c r="CC934" s="4"/>
      <c r="CD934" s="4"/>
      <c r="CE934" s="4"/>
      <c r="CF934" s="4"/>
    </row>
    <row r="935" spans="1:84" x14ac:dyDescent="0.3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c r="BB935" s="4"/>
      <c r="BC935" s="4"/>
      <c r="BD935" s="4"/>
      <c r="BE935" s="4"/>
      <c r="BF935" s="4"/>
      <c r="BG935" s="4"/>
      <c r="BH935" s="4"/>
      <c r="BI935" s="4"/>
      <c r="BJ935" s="4"/>
      <c r="BK935" s="4"/>
      <c r="BL935" s="4"/>
      <c r="BS935" s="4"/>
      <c r="BT935" s="4"/>
      <c r="BU935" s="4"/>
      <c r="BV935" s="4"/>
      <c r="BW935" s="4"/>
      <c r="BX935" s="4"/>
      <c r="BY935" s="4"/>
      <c r="BZ935" s="4"/>
      <c r="CA935" s="4"/>
      <c r="CB935" s="4"/>
      <c r="CC935" s="4"/>
      <c r="CD935" s="4"/>
      <c r="CE935" s="4"/>
      <c r="CF935" s="4"/>
    </row>
    <row r="936" spans="1:84" x14ac:dyDescent="0.3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c r="BB936" s="4"/>
      <c r="BC936" s="4"/>
      <c r="BD936" s="4"/>
      <c r="BE936" s="4"/>
      <c r="BF936" s="4"/>
      <c r="BG936" s="4"/>
      <c r="BH936" s="4"/>
      <c r="BI936" s="4"/>
      <c r="BJ936" s="4"/>
      <c r="BK936" s="4"/>
      <c r="BL936" s="4"/>
      <c r="BS936" s="4"/>
      <c r="BT936" s="4"/>
      <c r="BU936" s="4"/>
      <c r="BV936" s="4"/>
      <c r="BW936" s="4"/>
      <c r="BX936" s="4"/>
      <c r="BY936" s="4"/>
      <c r="BZ936" s="4"/>
      <c r="CA936" s="4"/>
      <c r="CB936" s="4"/>
      <c r="CC936" s="4"/>
      <c r="CD936" s="4"/>
      <c r="CE936" s="4"/>
      <c r="CF936" s="4"/>
    </row>
    <row r="937" spans="1:84" x14ac:dyDescent="0.3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c r="BB937" s="4"/>
      <c r="BC937" s="4"/>
      <c r="BD937" s="4"/>
      <c r="BE937" s="4"/>
      <c r="BF937" s="4"/>
      <c r="BG937" s="4"/>
      <c r="BH937" s="4"/>
      <c r="BI937" s="4"/>
      <c r="BJ937" s="4"/>
      <c r="BK937" s="4"/>
      <c r="BL937" s="4"/>
      <c r="BS937" s="4"/>
      <c r="BT937" s="4"/>
      <c r="BU937" s="4"/>
      <c r="BV937" s="4"/>
      <c r="BW937" s="4"/>
      <c r="BX937" s="4"/>
      <c r="BY937" s="4"/>
      <c r="BZ937" s="4"/>
      <c r="CA937" s="4"/>
      <c r="CB937" s="4"/>
      <c r="CC937" s="4"/>
      <c r="CD937" s="4"/>
      <c r="CE937" s="4"/>
      <c r="CF937" s="4"/>
    </row>
    <row r="938" spans="1:84" x14ac:dyDescent="0.3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c r="BB938" s="4"/>
      <c r="BC938" s="4"/>
      <c r="BD938" s="4"/>
      <c r="BE938" s="4"/>
      <c r="BF938" s="4"/>
      <c r="BG938" s="4"/>
      <c r="BH938" s="4"/>
      <c r="BI938" s="4"/>
      <c r="BJ938" s="4"/>
      <c r="BK938" s="4"/>
      <c r="BL938" s="4"/>
      <c r="BS938" s="4"/>
      <c r="BT938" s="4"/>
      <c r="BU938" s="4"/>
      <c r="BV938" s="4"/>
      <c r="BW938" s="4"/>
      <c r="BX938" s="4"/>
      <c r="BY938" s="4"/>
      <c r="BZ938" s="4"/>
      <c r="CA938" s="4"/>
      <c r="CB938" s="4"/>
      <c r="CC938" s="4"/>
      <c r="CD938" s="4"/>
      <c r="CE938" s="4"/>
      <c r="CF938" s="4"/>
    </row>
    <row r="939" spans="1:84" x14ac:dyDescent="0.3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c r="BB939" s="4"/>
      <c r="BC939" s="4"/>
      <c r="BD939" s="4"/>
      <c r="BE939" s="4"/>
      <c r="BF939" s="4"/>
      <c r="BG939" s="4"/>
      <c r="BH939" s="4"/>
      <c r="BI939" s="4"/>
      <c r="BJ939" s="4"/>
      <c r="BK939" s="4"/>
      <c r="BL939" s="4"/>
      <c r="BS939" s="4"/>
      <c r="BT939" s="4"/>
      <c r="BU939" s="4"/>
      <c r="BV939" s="4"/>
      <c r="BW939" s="4"/>
      <c r="BX939" s="4"/>
      <c r="BY939" s="4"/>
      <c r="BZ939" s="4"/>
      <c r="CA939" s="4"/>
      <c r="CB939" s="4"/>
      <c r="CC939" s="4"/>
      <c r="CD939" s="4"/>
      <c r="CE939" s="4"/>
      <c r="CF939" s="4"/>
    </row>
    <row r="940" spans="1:84" x14ac:dyDescent="0.3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c r="BB940" s="4"/>
      <c r="BC940" s="4"/>
      <c r="BD940" s="4"/>
      <c r="BE940" s="4"/>
      <c r="BF940" s="4"/>
      <c r="BG940" s="4"/>
      <c r="BH940" s="4"/>
      <c r="BI940" s="4"/>
      <c r="BJ940" s="4"/>
      <c r="BK940" s="4"/>
      <c r="BL940" s="4"/>
      <c r="BS940" s="4"/>
      <c r="BT940" s="4"/>
      <c r="BU940" s="4"/>
      <c r="BV940" s="4"/>
      <c r="BW940" s="4"/>
      <c r="BX940" s="4"/>
      <c r="BY940" s="4"/>
      <c r="BZ940" s="4"/>
      <c r="CA940" s="4"/>
      <c r="CB940" s="4"/>
      <c r="CC940" s="4"/>
      <c r="CD940" s="4"/>
      <c r="CE940" s="4"/>
      <c r="CF940" s="4"/>
    </row>
    <row r="941" spans="1:84" x14ac:dyDescent="0.3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c r="BB941" s="4"/>
      <c r="BC941" s="4"/>
      <c r="BD941" s="4"/>
      <c r="BE941" s="4"/>
      <c r="BF941" s="4"/>
      <c r="BG941" s="4"/>
      <c r="BH941" s="4"/>
      <c r="BI941" s="4"/>
      <c r="BJ941" s="4"/>
      <c r="BK941" s="4"/>
      <c r="BL941" s="4"/>
      <c r="BS941" s="4"/>
      <c r="BT941" s="4"/>
      <c r="BU941" s="4"/>
      <c r="BV941" s="4"/>
      <c r="BW941" s="4"/>
      <c r="BX941" s="4"/>
      <c r="BY941" s="4"/>
      <c r="BZ941" s="4"/>
      <c r="CA941" s="4"/>
      <c r="CB941" s="4"/>
      <c r="CC941" s="4"/>
      <c r="CD941" s="4"/>
      <c r="CE941" s="4"/>
      <c r="CF941" s="4"/>
    </row>
    <row r="942" spans="1:84" x14ac:dyDescent="0.3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c r="BB942" s="4"/>
      <c r="BC942" s="4"/>
      <c r="BD942" s="4"/>
      <c r="BE942" s="4"/>
      <c r="BF942" s="4"/>
      <c r="BG942" s="4"/>
      <c r="BH942" s="4"/>
      <c r="BI942" s="4"/>
      <c r="BJ942" s="4"/>
      <c r="BK942" s="4"/>
      <c r="BL942" s="4"/>
      <c r="BS942" s="4"/>
      <c r="BT942" s="4"/>
      <c r="BU942" s="4"/>
      <c r="BV942" s="4"/>
      <c r="BW942" s="4"/>
      <c r="BX942" s="4"/>
      <c r="BY942" s="4"/>
      <c r="BZ942" s="4"/>
      <c r="CA942" s="4"/>
      <c r="CB942" s="4"/>
      <c r="CC942" s="4"/>
      <c r="CD942" s="4"/>
      <c r="CE942" s="4"/>
      <c r="CF942" s="4"/>
    </row>
    <row r="943" spans="1:84" x14ac:dyDescent="0.3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c r="BB943" s="4"/>
      <c r="BC943" s="4"/>
      <c r="BD943" s="4"/>
      <c r="BE943" s="4"/>
      <c r="BF943" s="4"/>
      <c r="BG943" s="4"/>
      <c r="BH943" s="4"/>
      <c r="BI943" s="4"/>
      <c r="BJ943" s="4"/>
      <c r="BK943" s="4"/>
      <c r="BL943" s="4"/>
      <c r="BS943" s="4"/>
      <c r="BT943" s="4"/>
      <c r="BU943" s="4"/>
      <c r="BV943" s="4"/>
      <c r="BW943" s="4"/>
      <c r="BX943" s="4"/>
      <c r="BY943" s="4"/>
      <c r="BZ943" s="4"/>
      <c r="CA943" s="4"/>
      <c r="CB943" s="4"/>
      <c r="CC943" s="4"/>
      <c r="CD943" s="4"/>
      <c r="CE943" s="4"/>
      <c r="CF943" s="4"/>
    </row>
    <row r="944" spans="1:84" x14ac:dyDescent="0.3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c r="BB944" s="4"/>
      <c r="BC944" s="4"/>
      <c r="BD944" s="4"/>
      <c r="BE944" s="4"/>
      <c r="BF944" s="4"/>
      <c r="BG944" s="4"/>
      <c r="BH944" s="4"/>
      <c r="BI944" s="4"/>
      <c r="BJ944" s="4"/>
      <c r="BK944" s="4"/>
      <c r="BL944" s="4"/>
      <c r="BS944" s="4"/>
      <c r="BT944" s="4"/>
      <c r="BU944" s="4"/>
      <c r="BV944" s="4"/>
      <c r="BW944" s="4"/>
      <c r="BX944" s="4"/>
      <c r="BY944" s="4"/>
      <c r="BZ944" s="4"/>
      <c r="CA944" s="4"/>
      <c r="CB944" s="4"/>
      <c r="CC944" s="4"/>
      <c r="CD944" s="4"/>
      <c r="CE944" s="4"/>
      <c r="CF944" s="4"/>
    </row>
    <row r="945" spans="1:84" x14ac:dyDescent="0.3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c r="BB945" s="4"/>
      <c r="BC945" s="4"/>
      <c r="BD945" s="4"/>
      <c r="BE945" s="4"/>
      <c r="BF945" s="4"/>
      <c r="BG945" s="4"/>
      <c r="BH945" s="4"/>
      <c r="BI945" s="4"/>
      <c r="BJ945" s="4"/>
      <c r="BK945" s="4"/>
      <c r="BL945" s="4"/>
      <c r="BS945" s="4"/>
      <c r="BT945" s="4"/>
      <c r="BU945" s="4"/>
      <c r="BV945" s="4"/>
      <c r="BW945" s="4"/>
      <c r="BX945" s="4"/>
      <c r="BY945" s="4"/>
      <c r="BZ945" s="4"/>
      <c r="CA945" s="4"/>
      <c r="CB945" s="4"/>
      <c r="CC945" s="4"/>
      <c r="CD945" s="4"/>
      <c r="CE945" s="4"/>
      <c r="CF945" s="4"/>
    </row>
    <row r="946" spans="1:84" x14ac:dyDescent="0.3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c r="BB946" s="4"/>
      <c r="BC946" s="4"/>
      <c r="BD946" s="4"/>
      <c r="BE946" s="4"/>
      <c r="BF946" s="4"/>
      <c r="BG946" s="4"/>
      <c r="BH946" s="4"/>
      <c r="BI946" s="4"/>
      <c r="BJ946" s="4"/>
      <c r="BK946" s="4"/>
      <c r="BL946" s="4"/>
      <c r="BS946" s="4"/>
      <c r="BT946" s="4"/>
      <c r="BU946" s="4"/>
      <c r="BV946" s="4"/>
      <c r="BW946" s="4"/>
      <c r="BX946" s="4"/>
      <c r="BY946" s="4"/>
      <c r="BZ946" s="4"/>
      <c r="CA946" s="4"/>
      <c r="CB946" s="4"/>
      <c r="CC946" s="4"/>
      <c r="CD946" s="4"/>
      <c r="CE946" s="4"/>
      <c r="CF946" s="4"/>
    </row>
    <row r="947" spans="1:84" x14ac:dyDescent="0.3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c r="BB947" s="4"/>
      <c r="BC947" s="4"/>
      <c r="BD947" s="4"/>
      <c r="BE947" s="4"/>
      <c r="BF947" s="4"/>
      <c r="BG947" s="4"/>
      <c r="BH947" s="4"/>
      <c r="BI947" s="4"/>
      <c r="BJ947" s="4"/>
      <c r="BK947" s="4"/>
      <c r="BL947" s="4"/>
      <c r="BS947" s="4"/>
      <c r="BT947" s="4"/>
      <c r="BU947" s="4"/>
      <c r="BV947" s="4"/>
      <c r="BW947" s="4"/>
      <c r="BX947" s="4"/>
      <c r="BY947" s="4"/>
      <c r="BZ947" s="4"/>
      <c r="CA947" s="4"/>
      <c r="CB947" s="4"/>
      <c r="CC947" s="4"/>
      <c r="CD947" s="4"/>
      <c r="CE947" s="4"/>
      <c r="CF947" s="4"/>
    </row>
    <row r="948" spans="1:84" x14ac:dyDescent="0.3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c r="BB948" s="4"/>
      <c r="BC948" s="4"/>
      <c r="BD948" s="4"/>
      <c r="BE948" s="4"/>
      <c r="BF948" s="4"/>
      <c r="BG948" s="4"/>
      <c r="BH948" s="4"/>
      <c r="BI948" s="4"/>
      <c r="BJ948" s="4"/>
      <c r="BK948" s="4"/>
      <c r="BL948" s="4"/>
      <c r="BS948" s="4"/>
      <c r="BT948" s="4"/>
      <c r="BU948" s="4"/>
      <c r="BV948" s="4"/>
      <c r="BW948" s="4"/>
      <c r="BX948" s="4"/>
      <c r="BY948" s="4"/>
      <c r="BZ948" s="4"/>
      <c r="CA948" s="4"/>
      <c r="CB948" s="4"/>
      <c r="CC948" s="4"/>
      <c r="CD948" s="4"/>
      <c r="CE948" s="4"/>
      <c r="CF948" s="4"/>
    </row>
    <row r="949" spans="1:84" x14ac:dyDescent="0.3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c r="BB949" s="4"/>
      <c r="BC949" s="4"/>
      <c r="BD949" s="4"/>
      <c r="BE949" s="4"/>
      <c r="BF949" s="4"/>
      <c r="BG949" s="4"/>
      <c r="BH949" s="4"/>
      <c r="BI949" s="4"/>
      <c r="BJ949" s="4"/>
      <c r="BK949" s="4"/>
      <c r="BL949" s="4"/>
      <c r="BS949" s="4"/>
      <c r="BT949" s="4"/>
      <c r="BU949" s="4"/>
      <c r="BV949" s="4"/>
      <c r="BW949" s="4"/>
      <c r="BX949" s="4"/>
      <c r="BY949" s="4"/>
      <c r="BZ949" s="4"/>
      <c r="CA949" s="4"/>
      <c r="CB949" s="4"/>
      <c r="CC949" s="4"/>
      <c r="CD949" s="4"/>
      <c r="CE949" s="4"/>
      <c r="CF949" s="4"/>
    </row>
    <row r="950" spans="1:84" x14ac:dyDescent="0.3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c r="BB950" s="4"/>
      <c r="BC950" s="4"/>
      <c r="BD950" s="4"/>
      <c r="BE950" s="4"/>
      <c r="BF950" s="4"/>
      <c r="BG950" s="4"/>
      <c r="BH950" s="4"/>
      <c r="BI950" s="4"/>
      <c r="BJ950" s="4"/>
      <c r="BK950" s="4"/>
      <c r="BL950" s="4"/>
      <c r="BS950" s="4"/>
      <c r="BT950" s="4"/>
      <c r="BU950" s="4"/>
      <c r="BV950" s="4"/>
      <c r="BW950" s="4"/>
      <c r="BX950" s="4"/>
      <c r="BY950" s="4"/>
      <c r="BZ950" s="4"/>
      <c r="CA950" s="4"/>
      <c r="CB950" s="4"/>
      <c r="CC950" s="4"/>
      <c r="CD950" s="4"/>
      <c r="CE950" s="4"/>
      <c r="CF950" s="4"/>
    </row>
    <row r="951" spans="1:84" x14ac:dyDescent="0.3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c r="BB951" s="4"/>
      <c r="BC951" s="4"/>
      <c r="BD951" s="4"/>
      <c r="BE951" s="4"/>
      <c r="BF951" s="4"/>
      <c r="BG951" s="4"/>
      <c r="BH951" s="4"/>
      <c r="BI951" s="4"/>
      <c r="BJ951" s="4"/>
      <c r="BK951" s="4"/>
      <c r="BL951" s="4"/>
      <c r="BS951" s="4"/>
      <c r="BT951" s="4"/>
      <c r="BU951" s="4"/>
      <c r="BV951" s="4"/>
      <c r="BW951" s="4"/>
      <c r="BX951" s="4"/>
      <c r="BY951" s="4"/>
      <c r="BZ951" s="4"/>
      <c r="CA951" s="4"/>
      <c r="CB951" s="4"/>
      <c r="CC951" s="4"/>
      <c r="CD951" s="4"/>
      <c r="CE951" s="4"/>
      <c r="CF951" s="4"/>
    </row>
    <row r="952" spans="1:84" x14ac:dyDescent="0.3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c r="BB952" s="4"/>
      <c r="BC952" s="4"/>
      <c r="BD952" s="4"/>
      <c r="BE952" s="4"/>
      <c r="BF952" s="4"/>
      <c r="BG952" s="4"/>
      <c r="BH952" s="4"/>
      <c r="BI952" s="4"/>
      <c r="BJ952" s="4"/>
      <c r="BK952" s="4"/>
      <c r="BL952" s="4"/>
      <c r="BS952" s="4"/>
      <c r="BT952" s="4"/>
      <c r="BU952" s="4"/>
      <c r="BV952" s="4"/>
      <c r="BW952" s="4"/>
      <c r="BX952" s="4"/>
      <c r="BY952" s="4"/>
      <c r="BZ952" s="4"/>
      <c r="CA952" s="4"/>
      <c r="CB952" s="4"/>
      <c r="CC952" s="4"/>
      <c r="CD952" s="4"/>
      <c r="CE952" s="4"/>
      <c r="CF952" s="4"/>
    </row>
    <row r="953" spans="1:84" x14ac:dyDescent="0.3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c r="BB953" s="4"/>
      <c r="BC953" s="4"/>
      <c r="BD953" s="4"/>
      <c r="BE953" s="4"/>
      <c r="BF953" s="4"/>
      <c r="BG953" s="4"/>
      <c r="BH953" s="4"/>
      <c r="BI953" s="4"/>
      <c r="BJ953" s="4"/>
      <c r="BK953" s="4"/>
      <c r="BL953" s="4"/>
      <c r="BS953" s="4"/>
      <c r="BT953" s="4"/>
      <c r="BU953" s="4"/>
      <c r="BV953" s="4"/>
      <c r="BW953" s="4"/>
      <c r="BX953" s="4"/>
      <c r="BY953" s="4"/>
      <c r="BZ953" s="4"/>
      <c r="CA953" s="4"/>
      <c r="CB953" s="4"/>
      <c r="CC953" s="4"/>
      <c r="CD953" s="4"/>
      <c r="CE953" s="4"/>
      <c r="CF953" s="4"/>
    </row>
    <row r="954" spans="1:84" x14ac:dyDescent="0.3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c r="BB954" s="4"/>
      <c r="BC954" s="4"/>
      <c r="BD954" s="4"/>
      <c r="BE954" s="4"/>
      <c r="BF954" s="4"/>
      <c r="BG954" s="4"/>
      <c r="BH954" s="4"/>
      <c r="BI954" s="4"/>
      <c r="BJ954" s="4"/>
      <c r="BK954" s="4"/>
      <c r="BL954" s="4"/>
      <c r="BS954" s="4"/>
      <c r="BT954" s="4"/>
      <c r="BU954" s="4"/>
      <c r="BV954" s="4"/>
      <c r="BW954" s="4"/>
      <c r="BX954" s="4"/>
      <c r="BY954" s="4"/>
      <c r="BZ954" s="4"/>
      <c r="CA954" s="4"/>
      <c r="CB954" s="4"/>
      <c r="CC954" s="4"/>
      <c r="CD954" s="4"/>
      <c r="CE954" s="4"/>
      <c r="CF954" s="4"/>
    </row>
    <row r="955" spans="1:84" x14ac:dyDescent="0.3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c r="BB955" s="4"/>
      <c r="BC955" s="4"/>
      <c r="BD955" s="4"/>
      <c r="BE955" s="4"/>
      <c r="BF955" s="4"/>
      <c r="BG955" s="4"/>
      <c r="BH955" s="4"/>
      <c r="BI955" s="4"/>
      <c r="BJ955" s="4"/>
      <c r="BK955" s="4"/>
      <c r="BL955" s="4"/>
      <c r="BS955" s="4"/>
      <c r="BT955" s="4"/>
      <c r="BU955" s="4"/>
      <c r="BV955" s="4"/>
      <c r="BW955" s="4"/>
      <c r="BX955" s="4"/>
      <c r="BY955" s="4"/>
      <c r="BZ955" s="4"/>
      <c r="CA955" s="4"/>
      <c r="CB955" s="4"/>
      <c r="CC955" s="4"/>
      <c r="CD955" s="4"/>
      <c r="CE955" s="4"/>
      <c r="CF955" s="4"/>
    </row>
  </sheetData>
  <autoFilter ref="A1:CJ118" xr:uid="{077D428B-8BE5-4609-BA48-979B9ACF3F1D}"/>
  <phoneticPr fontId="3" type="noConversion"/>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CBAA3E038356449A8E8E5EFBA56BA7" ma:contentTypeVersion="17" ma:contentTypeDescription="Create a new document." ma:contentTypeScope="" ma:versionID="e2b3c6a9bfc12e5f3077b0f4eae8f3aa">
  <xsd:schema xmlns:xsd="http://www.w3.org/2001/XMLSchema" xmlns:xs="http://www.w3.org/2001/XMLSchema" xmlns:p="http://schemas.microsoft.com/office/2006/metadata/properties" xmlns:ns2="72bda078-25cf-4dc4-9853-c68387b648e8" xmlns:ns3="12661c1b-ebcd-4cf2-a537-0fae4d653bab" targetNamespace="http://schemas.microsoft.com/office/2006/metadata/properties" ma:root="true" ma:fieldsID="9a56257aa1eba96f0cf188d3b6db5e2e" ns2:_="" ns3:_="">
    <xsd:import namespace="72bda078-25cf-4dc4-9853-c68387b648e8"/>
    <xsd:import namespace="12661c1b-ebcd-4cf2-a537-0fae4d653ba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da078-25cf-4dc4-9853-c68387b648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661c1b-ebcd-4cf2-a537-0fae4d653ba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cd0799a7-4553-495c-a1cd-142486be5d27}" ma:internalName="TaxCatchAll" ma:showField="CatchAllData" ma:web="12661c1b-ebcd-4cf2-a537-0fae4d653b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2bda078-25cf-4dc4-9853-c68387b648e8">
      <Terms xmlns="http://schemas.microsoft.com/office/infopath/2007/PartnerControls"/>
    </lcf76f155ced4ddcb4097134ff3c332f>
    <TaxCatchAll xmlns="12661c1b-ebcd-4cf2-a537-0fae4d653bab" xsi:nil="true"/>
  </documentManagement>
</p:properties>
</file>

<file path=customXml/itemProps1.xml><?xml version="1.0" encoding="utf-8"?>
<ds:datastoreItem xmlns:ds="http://schemas.openxmlformats.org/officeDocument/2006/customXml" ds:itemID="{BB1F6943-5713-49C7-A5DF-C4A25A872F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da078-25cf-4dc4-9853-c68387b648e8"/>
    <ds:schemaRef ds:uri="12661c1b-ebcd-4cf2-a537-0fae4d653b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4EBAFF-EE62-4020-910D-654D50EAE000}">
  <ds:schemaRefs>
    <ds:schemaRef ds:uri="http://schemas.microsoft.com/sharepoint/v3/contenttype/forms"/>
  </ds:schemaRefs>
</ds:datastoreItem>
</file>

<file path=customXml/itemProps3.xml><?xml version="1.0" encoding="utf-8"?>
<ds:datastoreItem xmlns:ds="http://schemas.openxmlformats.org/officeDocument/2006/customXml" ds:itemID="{8EC4ECB3-F4AD-4341-8409-853E23831703}">
  <ds:schemaRefs>
    <ds:schemaRef ds:uri="http://schemas.microsoft.com/office/infopath/2007/PartnerControls"/>
    <ds:schemaRef ds:uri="http://schemas.microsoft.com/office/2006/documentManagement/types"/>
    <ds:schemaRef ds:uri="72bda078-25cf-4dc4-9853-c68387b648e8"/>
    <ds:schemaRef ds:uri="http://schemas.openxmlformats.org/package/2006/metadata/core-properties"/>
    <ds:schemaRef ds:uri="http://purl.org/dc/dcmitype/"/>
    <ds:schemaRef ds:uri="http://schemas.microsoft.com/office/2006/metadata/properties"/>
    <ds:schemaRef ds:uri="http://purl.org/dc/terms/"/>
    <ds:schemaRef ds:uri="12661c1b-ebcd-4cf2-a537-0fae4d653bab"/>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 final dataset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Hendrik Bruns</dc:creator>
  <cp:keywords/>
  <dc:description/>
  <cp:lastModifiedBy>BRUNS Hendrik (JRC)</cp:lastModifiedBy>
  <cp:revision/>
  <dcterms:created xsi:type="dcterms:W3CDTF">2020-11-16T15:00:43Z</dcterms:created>
  <dcterms:modified xsi:type="dcterms:W3CDTF">2024-08-30T10:12:24Z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0x010100DECBAA3E038356449A8E8E5EFBA56BA7</vt:lpwstr>
  </property>
  <property fmtid="{D5CDD505-2E9C-101B-9397-08002B2CF9AE}" pid="3" name="MSIP_Label_6bd9ddd1-4d20-43f6-abfa-fc3c07406f94_Enabled">
    <vt:lpwstr>true</vt:lpwstr>
  </property>
  <property fmtid="{D5CDD505-2E9C-101B-9397-08002B2CF9AE}" pid="4" name="MSIP_Label_6bd9ddd1-4d20-43f6-abfa-fc3c07406f94_SetDate">
    <vt:lpwstr>2024-07-04T12:02:16Z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da980320-3bcd-4543-a2ca-b7db17804735</vt:lpwstr>
  </property>
  <property fmtid="{D5CDD505-2E9C-101B-9397-08002B2CF9AE}" pid="9" name="MSIP_Label_6bd9ddd1-4d20-43f6-abfa-fc3c07406f94_ContentBits">
    <vt:lpwstr>0</vt:lpwstr>
  </property>
  <property fmtid="{D5CDD505-2E9C-101B-9397-08002B2CF9AE}" pid="10" name="MediaServiceImageTags">
    <vt:lpwstr/>
  </property>
</Properties>
</file>